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 firstSheet="2" activeTab="5"/>
  </bookViews>
  <sheets>
    <sheet name="Plan1" sheetId="1" state="hidden" r:id="rId1"/>
    <sheet name="ORÇ.ORIGINAL" sheetId="2" state="hidden" r:id="rId2"/>
    <sheet name="memorial" sheetId="3" r:id="rId3"/>
    <sheet name="ORÇ" sheetId="4" r:id="rId4"/>
    <sheet name="cron.erplan" sheetId="5" state="hidden" r:id="rId5"/>
    <sheet name="CRONO.LIC" sheetId="7" r:id="rId6"/>
    <sheet name="BM.1" sheetId="11" state="hidden" r:id="rId7"/>
    <sheet name="BM 1" sheetId="12" state="hidden" r:id="rId8"/>
    <sheet name="orç na prancha" sheetId="13" state="hidden" r:id="rId9"/>
  </sheets>
  <definedNames>
    <definedName name="_xlnm.Print_Area" localSheetId="2">memorial!$A$1:$F$37</definedName>
    <definedName name="_xlnm.Print_Area" localSheetId="3">ORÇ!$A$1:$H$95</definedName>
    <definedName name="Print_Area_0" localSheetId="2">memorial!$A$1:$F$37</definedName>
    <definedName name="Print_Area_0_0" localSheetId="2">memorial!$A$1:$F$37</definedName>
    <definedName name="Print_Titles_0_0" localSheetId="7">'BM 1'!$A:$H,'BM 1'!$2:$13</definedName>
    <definedName name="_xlnm.Print_Titles" localSheetId="3">ORÇ!$A:$H,ORÇ!$1:$17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2" i="7"/>
  <c r="F20"/>
  <c r="D20"/>
  <c r="C15"/>
  <c r="C16"/>
  <c r="C17"/>
  <c r="C18"/>
  <c r="C19"/>
  <c r="F15"/>
  <c r="F16"/>
  <c r="F17"/>
  <c r="F18"/>
  <c r="F19"/>
  <c r="D15"/>
  <c r="D16"/>
  <c r="D17"/>
  <c r="D18"/>
  <c r="D19"/>
  <c r="I70" i="4"/>
  <c r="I83"/>
  <c r="I50"/>
  <c r="L20" i="7"/>
  <c r="L19"/>
  <c r="B19"/>
  <c r="L18"/>
  <c r="B18"/>
  <c r="L17"/>
  <c r="B17"/>
  <c r="L16"/>
  <c r="B16"/>
  <c r="L15"/>
  <c r="B15"/>
  <c r="L14"/>
  <c r="B14"/>
  <c r="G86" i="4" l="1"/>
  <c r="H86" s="1"/>
  <c r="E75"/>
  <c r="E73"/>
  <c r="E76" s="1"/>
  <c r="H76" s="1"/>
  <c r="G83"/>
  <c r="H83" s="1"/>
  <c r="G82"/>
  <c r="H82" s="1"/>
  <c r="G81"/>
  <c r="H81" s="1"/>
  <c r="G80"/>
  <c r="H80" s="1"/>
  <c r="G79"/>
  <c r="H79" s="1"/>
  <c r="G78"/>
  <c r="H78" s="1"/>
  <c r="G77"/>
  <c r="H77" s="1"/>
  <c r="G76"/>
  <c r="G75"/>
  <c r="G74"/>
  <c r="H74" s="1"/>
  <c r="G73"/>
  <c r="G50"/>
  <c r="H50" s="1"/>
  <c r="G49"/>
  <c r="H49" s="1"/>
  <c r="G70"/>
  <c r="H70" s="1"/>
  <c r="E56"/>
  <c r="E53"/>
  <c r="E54" s="1"/>
  <c r="H54" s="1"/>
  <c r="E62"/>
  <c r="E60"/>
  <c r="G69"/>
  <c r="H69" s="1"/>
  <c r="G68"/>
  <c r="H68" s="1"/>
  <c r="G67"/>
  <c r="H67" s="1"/>
  <c r="G66"/>
  <c r="H66" s="1"/>
  <c r="G65"/>
  <c r="H65" s="1"/>
  <c r="G64"/>
  <c r="H64" s="1"/>
  <c r="G63"/>
  <c r="G62"/>
  <c r="H62" s="1"/>
  <c r="G61"/>
  <c r="H61" s="1"/>
  <c r="G60"/>
  <c r="G58"/>
  <c r="H58" s="1"/>
  <c r="G57"/>
  <c r="H57" s="1"/>
  <c r="G56"/>
  <c r="H56" s="1"/>
  <c r="G55"/>
  <c r="G54"/>
  <c r="G53"/>
  <c r="F88"/>
  <c r="C93"/>
  <c r="E93"/>
  <c r="G48"/>
  <c r="H48" s="1"/>
  <c r="G46"/>
  <c r="H46" s="1"/>
  <c r="G47"/>
  <c r="H47" s="1"/>
  <c r="E40"/>
  <c r="G40"/>
  <c r="E39"/>
  <c r="G39"/>
  <c r="E38"/>
  <c r="G44"/>
  <c r="H44" s="1"/>
  <c r="G45"/>
  <c r="H45" s="1"/>
  <c r="G42"/>
  <c r="H42" s="1"/>
  <c r="G36"/>
  <c r="H36" s="1"/>
  <c r="G34"/>
  <c r="G43"/>
  <c r="H43" s="1"/>
  <c r="G41"/>
  <c r="G38"/>
  <c r="E32"/>
  <c r="E31"/>
  <c r="E34" s="1"/>
  <c r="G35"/>
  <c r="H35" s="1"/>
  <c r="G33"/>
  <c r="E33"/>
  <c r="G32"/>
  <c r="G31"/>
  <c r="G28"/>
  <c r="E28"/>
  <c r="G27"/>
  <c r="H27" s="1"/>
  <c r="G26"/>
  <c r="H26" s="1"/>
  <c r="H53" l="1"/>
  <c r="E55"/>
  <c r="H73"/>
  <c r="H75"/>
  <c r="H40"/>
  <c r="H60"/>
  <c r="H34"/>
  <c r="E63"/>
  <c r="H63" s="1"/>
  <c r="H55"/>
  <c r="H39"/>
  <c r="H33"/>
  <c r="H32"/>
  <c r="H38"/>
  <c r="E41"/>
  <c r="H41" s="1"/>
  <c r="H31"/>
  <c r="H28"/>
  <c r="E22" l="1"/>
  <c r="F21" i="3" l="1"/>
  <c r="E22" l="1"/>
  <c r="F22" l="1"/>
  <c r="F23" s="1"/>
  <c r="C94" i="4"/>
  <c r="G21"/>
  <c r="G22"/>
  <c r="G23"/>
  <c r="G20"/>
  <c r="F24" i="3" l="1"/>
  <c r="H21" i="4" l="1"/>
  <c r="H23"/>
  <c r="H20"/>
  <c r="H88" l="1"/>
  <c r="H22"/>
  <c r="G26" i="12"/>
  <c r="J26" s="1"/>
  <c r="L26" s="1"/>
  <c r="G24"/>
  <c r="J24" s="1"/>
  <c r="L24" s="1"/>
  <c r="J23"/>
  <c r="L23" s="1"/>
  <c r="H23"/>
  <c r="J21"/>
  <c r="L21" s="1"/>
  <c r="H21"/>
  <c r="H20"/>
  <c r="G20"/>
  <c r="J20" s="1"/>
  <c r="L20" s="1"/>
  <c r="L19"/>
  <c r="J19"/>
  <c r="H19"/>
  <c r="K17"/>
  <c r="J17"/>
  <c r="L17" s="1"/>
  <c r="H17"/>
  <c r="K16"/>
  <c r="J16"/>
  <c r="L16" s="1"/>
  <c r="H16"/>
  <c r="K15"/>
  <c r="J15"/>
  <c r="G15"/>
  <c r="H15" s="1"/>
  <c r="J33" i="11"/>
  <c r="F33"/>
  <c r="E33"/>
  <c r="J32"/>
  <c r="F32"/>
  <c r="J31"/>
  <c r="F31"/>
  <c r="E31"/>
  <c r="G31" s="1"/>
  <c r="E30"/>
  <c r="E29"/>
  <c r="E32" s="1"/>
  <c r="G32" s="1"/>
  <c r="E28"/>
  <c r="E27"/>
  <c r="J25"/>
  <c r="F25"/>
  <c r="G25" s="1"/>
  <c r="I25" s="1"/>
  <c r="J24"/>
  <c r="F24"/>
  <c r="G24" s="1"/>
  <c r="J22"/>
  <c r="F22"/>
  <c r="G22" s="1"/>
  <c r="J21"/>
  <c r="F21"/>
  <c r="G21" s="1"/>
  <c r="J19"/>
  <c r="F19"/>
  <c r="G19" s="1"/>
  <c r="K19" s="1"/>
  <c r="J18"/>
  <c r="F18"/>
  <c r="G18" s="1"/>
  <c r="J17"/>
  <c r="F17"/>
  <c r="E17"/>
  <c r="B29" i="7"/>
  <c r="B28"/>
  <c r="H29" i="5"/>
  <c r="D26"/>
  <c r="H26" s="1"/>
  <c r="B25"/>
  <c r="D24"/>
  <c r="H24" s="1"/>
  <c r="D23"/>
  <c r="B23"/>
  <c r="D22"/>
  <c r="H22" s="1"/>
  <c r="D21"/>
  <c r="B21"/>
  <c r="D20"/>
  <c r="B19"/>
  <c r="E94" i="4"/>
  <c r="G29" i="7" s="1"/>
  <c r="G28"/>
  <c r="H24"/>
  <c r="B16" i="4"/>
  <c r="C15"/>
  <c r="A15"/>
  <c r="F36" i="2"/>
  <c r="G36" s="1"/>
  <c r="F35"/>
  <c r="G35" s="1"/>
  <c r="F34"/>
  <c r="G34" s="1"/>
  <c r="G33"/>
  <c r="F33"/>
  <c r="E33"/>
  <c r="F32"/>
  <c r="G32" s="1"/>
  <c r="G31"/>
  <c r="F31"/>
  <c r="E31"/>
  <c r="F30"/>
  <c r="G30" s="1"/>
  <c r="E30"/>
  <c r="F29"/>
  <c r="G29" s="1"/>
  <c r="E29"/>
  <c r="F28"/>
  <c r="G28" s="1"/>
  <c r="E28"/>
  <c r="F27"/>
  <c r="E27"/>
  <c r="G27" s="1"/>
  <c r="F25"/>
  <c r="G25" s="1"/>
  <c r="F24"/>
  <c r="G24" s="1"/>
  <c r="F22"/>
  <c r="G22" s="1"/>
  <c r="F21"/>
  <c r="G21" s="1"/>
  <c r="F19"/>
  <c r="G19" s="1"/>
  <c r="G18"/>
  <c r="F18"/>
  <c r="F17"/>
  <c r="G17" s="1"/>
  <c r="E17"/>
  <c r="L24" i="1"/>
  <c r="H24"/>
  <c r="L23"/>
  <c r="G23"/>
  <c r="H23" s="1"/>
  <c r="L22"/>
  <c r="H22"/>
  <c r="G22"/>
  <c r="L21"/>
  <c r="G21"/>
  <c r="H21" s="1"/>
  <c r="L20"/>
  <c r="J20"/>
  <c r="G20"/>
  <c r="H20" s="1"/>
  <c r="H19"/>
  <c r="H18"/>
  <c r="H17"/>
  <c r="H16"/>
  <c r="H15"/>
  <c r="H14"/>
  <c r="H13"/>
  <c r="H12"/>
  <c r="H11"/>
  <c r="H10"/>
  <c r="K22" i="11" l="1"/>
  <c r="I22"/>
  <c r="K18"/>
  <c r="I18"/>
  <c r="G20"/>
  <c r="I21"/>
  <c r="N25" i="1"/>
  <c r="L25"/>
  <c r="K21" i="11"/>
  <c r="G33"/>
  <c r="I33" s="1"/>
  <c r="H26" i="12"/>
  <c r="G26" i="2"/>
  <c r="G23"/>
  <c r="G17" i="11"/>
  <c r="K17" s="1"/>
  <c r="K25"/>
  <c r="K33"/>
  <c r="H24" i="12"/>
  <c r="H28" s="1"/>
  <c r="D31" i="5"/>
  <c r="D30" s="1"/>
  <c r="H30" s="1"/>
  <c r="H31" s="1"/>
  <c r="B9" i="7"/>
  <c r="D25" i="5"/>
  <c r="H25" i="1"/>
  <c r="G26" i="11"/>
  <c r="F26" s="1"/>
  <c r="I31"/>
  <c r="I24"/>
  <c r="G23"/>
  <c r="K24"/>
  <c r="K32"/>
  <c r="I32"/>
  <c r="G20" i="2"/>
  <c r="G16"/>
  <c r="G38" s="1"/>
  <c r="H30" i="3"/>
  <c r="K31" i="11"/>
  <c r="J28" i="12"/>
  <c r="E32" i="5"/>
  <c r="I19" i="11"/>
  <c r="L15" i="12"/>
  <c r="L28" s="1"/>
  <c r="H20" i="5"/>
  <c r="G16" i="11" l="1"/>
  <c r="K28" i="12"/>
  <c r="F34" s="1"/>
  <c r="I17" i="11"/>
  <c r="I35" s="1"/>
  <c r="I28" i="12"/>
  <c r="F33" s="1"/>
  <c r="G33"/>
  <c r="G34" s="1"/>
  <c r="G35" s="1"/>
  <c r="F35" s="1"/>
  <c r="K35" i="11"/>
  <c r="J35" s="1"/>
  <c r="G35"/>
  <c r="D22" i="7" l="1"/>
  <c r="H35" i="11"/>
  <c r="F41"/>
  <c r="F44"/>
  <c r="E44" s="1"/>
  <c r="F43" l="1"/>
  <c r="E43" s="1"/>
  <c r="E41"/>
  <c r="J14" i="7" l="1"/>
  <c r="J20" s="1"/>
  <c r="C14"/>
  <c r="D14"/>
  <c r="F14"/>
  <c r="H14"/>
  <c r="H20" s="1"/>
  <c r="D21" l="1"/>
  <c r="F21" s="1"/>
  <c r="H21" s="1"/>
  <c r="J21" s="1"/>
  <c r="E20"/>
  <c r="E21" s="1"/>
  <c r="K20"/>
  <c r="G20"/>
  <c r="I20"/>
  <c r="G21" l="1"/>
  <c r="I21" s="1"/>
  <c r="K21" s="1"/>
</calcChain>
</file>

<file path=xl/sharedStrings.xml><?xml version="1.0" encoding="utf-8"?>
<sst xmlns="http://schemas.openxmlformats.org/spreadsheetml/2006/main" count="735" uniqueCount="332">
  <si>
    <t>Obra: Galeria de Àguas Pluviais</t>
  </si>
  <si>
    <t>Local: Rua: Justino de Andrade</t>
  </si>
  <si>
    <t>Cidade : Euclides da Cunha Paulista - São Paulo</t>
  </si>
  <si>
    <t>BDI Adotado: 30%</t>
  </si>
  <si>
    <t>Item</t>
  </si>
  <si>
    <t>código/órgão</t>
  </si>
  <si>
    <t>data base</t>
  </si>
  <si>
    <t>Descrição</t>
  </si>
  <si>
    <t>Quant.</t>
  </si>
  <si>
    <t>Unid</t>
  </si>
  <si>
    <t>Preço</t>
  </si>
  <si>
    <t>unitário</t>
  </si>
  <si>
    <t>Total</t>
  </si>
  <si>
    <t>PLACA DA OBRA</t>
  </si>
  <si>
    <t>1.1</t>
  </si>
  <si>
    <t>28.08.01.01 / DER</t>
  </si>
  <si>
    <t>Confecção,Montagem e Instalação de Placa Institucional</t>
  </si>
  <si>
    <t>m²</t>
  </si>
  <si>
    <t>INFRA ESTRUTURA</t>
  </si>
  <si>
    <t>2.1</t>
  </si>
  <si>
    <t>3062/sinapi</t>
  </si>
  <si>
    <t>ESCAVACAO MEC DE VALA NAO ESCORADA EM MATERIAL DE 1A CATEGORIA COM PROFUNDIDADE DE 1,5 ATE 3M COM RETROESCAVADEIRA 75HP</t>
  </si>
  <si>
    <t>m³</t>
  </si>
  <si>
    <t>2.2</t>
  </si>
  <si>
    <t>73964/005 -sinapi</t>
  </si>
  <si>
    <t>REATERRO DE VALA/CAVA SEM CONTROLE DE COMPACTAÇÃO , UTILIZANDO RETRO-ESCAVADEIRA E COMPACTACADOR VIBRATORIO COM MATERIAL REAPROVEITADO</t>
  </si>
  <si>
    <t>2.3</t>
  </si>
  <si>
    <t>74249/001-sinapi</t>
  </si>
  <si>
    <t>LASTRO DE BRITA 25MM, ESPESSURA 3CM, INCLUSO COMPACTACAO MANUAL</t>
  </si>
  <si>
    <t>TUBOS EM CONCRETO</t>
  </si>
  <si>
    <t>3.1</t>
  </si>
  <si>
    <t>24.16.01-DER</t>
  </si>
  <si>
    <t>Tubo de concreto d=0,40 m classe PA-1</t>
  </si>
  <si>
    <t>ml</t>
  </si>
  <si>
    <t>3.2</t>
  </si>
  <si>
    <t>24.16.11-DER</t>
  </si>
  <si>
    <t>Tubo de concreto d=0,80 m classe PA-1</t>
  </si>
  <si>
    <t>3.3</t>
  </si>
  <si>
    <t>24.16.15-DER</t>
  </si>
  <si>
    <t>Tubo de concreto d=1,00 m classe PA-1</t>
  </si>
  <si>
    <t>BOCAS DE LOBO, PV's, DISSIPADOR</t>
  </si>
  <si>
    <t>4.1</t>
  </si>
  <si>
    <t>73856/005 sinapi</t>
  </si>
  <si>
    <t>BOCA PARA BUEIRO SIMPLES TUBULAR, DIAMETRO =1,20M, EM CONCRETO CICLOPICO, INCLUINDO FORMAS, ESCAVACAO, REATERRO E MATERIAIS, EXCLUINDO MATERIAL REATERRO JAZIDA E TRANSPORTE.</t>
  </si>
  <si>
    <t>unid</t>
  </si>
  <si>
    <t>4.2</t>
  </si>
  <si>
    <t>73856/010 sinapi</t>
  </si>
  <si>
    <t>BOCA PARA BUEIRO DUPLOTUBULAR, DIAMETRO =1,20M, EM CONCRETO CICLOPICO, INCLUINDO FORMAS, ESCAVACAO, REATERRO E MATERIAIS, EXCLUINDO MATERIAL REATERRO JAZIDA E TRANSPORTE.</t>
  </si>
  <si>
    <t>4.3</t>
  </si>
  <si>
    <t>74124/008 sinapi</t>
  </si>
  <si>
    <t>POCO VISITA AG PLUV:CONC ARM 1,70X1,70X1,80M COLETOR D=1,20M PAREDE E=15CM BASE CONC FCK=10MPA REVEST C/ARG CIM/AREIA 1:4 DEGRAUS FF INCL FORN TODOS MATERIAIS, COM PROF. DE 2,0M.</t>
  </si>
  <si>
    <t>4.4</t>
  </si>
  <si>
    <t>74214/001 sinapi</t>
  </si>
  <si>
    <t>MÓDULO TÍPICO &gt; POÇO DE VISITA EM ALVENARIA PARA REDE DE AGUA PLUVIAL, DIAMETRO 1,20 M - PROFUNDIDADE ATE 4,00 METROS.</t>
  </si>
  <si>
    <t>4.5</t>
  </si>
  <si>
    <t>s/ código</t>
  </si>
  <si>
    <t>Dissipador</t>
  </si>
  <si>
    <t>Euclides da Cunha Paulista, 05 de Outubro de 2011</t>
  </si>
  <si>
    <t>Obra:  Execução de pavimentação asfaltica e Galeria de Àguas Pluviais</t>
  </si>
  <si>
    <t>2PARTE</t>
  </si>
  <si>
    <t>SINAPI/FEV 2012</t>
  </si>
  <si>
    <t>3062/</t>
  </si>
  <si>
    <t>ESCAVACAO MEC DE VALA NAO ESCORADA EM MATERIAL DE 1A CATEGORIA COM PROFUNDIDADE DE 1,5M COM RETROESCAVADEIRA 75HP</t>
  </si>
  <si>
    <t>1.2</t>
  </si>
  <si>
    <t>73964/005</t>
  </si>
  <si>
    <r>
      <rPr>
        <sz val="11"/>
        <color rgb="FF000000"/>
        <rFont val="Calibri"/>
        <family val="2"/>
        <charset val="1"/>
      </rPr>
      <t xml:space="preserve">REATERRO DE VALA/CAVA SEM CONTROLE DE COMPACTAÇÃO , UTILIZANDO RETRO-ESCAVADEIRA E </t>
    </r>
    <r>
      <rPr>
        <u/>
        <sz val="11"/>
        <color rgb="FF000000"/>
        <rFont val="Calibri"/>
        <family val="2"/>
        <charset val="1"/>
      </rPr>
      <t>COMPACTACADOR VIBRATORIO</t>
    </r>
    <r>
      <rPr>
        <sz val="11"/>
        <color rgb="FF000000"/>
        <rFont val="Calibri"/>
        <family val="2"/>
        <charset val="1"/>
      </rPr>
      <t xml:space="preserve"> COM MATERIAL REAPROVEITADO</t>
    </r>
  </si>
  <si>
    <t>1.3</t>
  </si>
  <si>
    <t>74249/001</t>
  </si>
  <si>
    <t>DER 12/2011</t>
  </si>
  <si>
    <t>24.16.01</t>
  </si>
  <si>
    <t>24.16.07</t>
  </si>
  <si>
    <t>TUBO DE CONCRETO D=0,60M CLASSE PA-1</t>
  </si>
  <si>
    <t>BOCAS DE LOBO, PV's</t>
  </si>
  <si>
    <t>73856/005</t>
  </si>
  <si>
    <t>74124/008</t>
  </si>
  <si>
    <t>PAVIMENTAÇÃO</t>
  </si>
  <si>
    <t>R$/m² 25,11</t>
  </si>
  <si>
    <t>74205/001</t>
  </si>
  <si>
    <t>ABERTURA E PREPARO DE CAIXA ATÉ 25CM COM REMOCAO DE MATERIAL 1A. CATEGORIA, EM CAMINHAO BASCULANTE, D.M.T.=6 KM (INCLUSIVE CARGA MECANICA E DESCARGA).</t>
  </si>
  <si>
    <t>74010/001</t>
  </si>
  <si>
    <r>
      <rPr>
        <sz val="10"/>
        <color rgb="FF000000"/>
        <rFont val="Arial"/>
        <family val="2"/>
        <charset val="1"/>
      </rPr>
      <t xml:space="preserve">CARGA E DESCARGA MECANICA DE SOLO UTILIZANDO CAMINHAO BASCULANTE 6,0M3 /11T E PA CARREGADEIRA SOBRE PNEUS * 105 HP * CAP. 1,72M3. </t>
    </r>
    <r>
      <rPr>
        <i/>
        <sz val="10"/>
        <color rgb="FF000000"/>
        <rFont val="Arial"/>
        <family val="2"/>
        <charset val="1"/>
      </rPr>
      <t>(Carga de material retirado da abertura de caixa a ser destinado ao bota fora)</t>
    </r>
  </si>
  <si>
    <t>72880</t>
  </si>
  <si>
    <r>
      <rPr>
        <sz val="10"/>
        <color rgb="FF000000"/>
        <rFont val="Arial"/>
        <family val="2"/>
        <charset val="1"/>
      </rPr>
      <t xml:space="preserve">TRANSPORTE LOCAL COM CAMINHAO BASCULANTE 6 M3, RODOVIA PAVIMENTADA, DM T 800 A 1.000 M </t>
    </r>
    <r>
      <rPr>
        <i/>
        <sz val="10"/>
        <color rgb="FF000000"/>
        <rFont val="Arial"/>
        <family val="2"/>
        <charset val="1"/>
      </rPr>
      <t>(Transporte de material ao bota fora)</t>
    </r>
  </si>
  <si>
    <t>74151/001</t>
  </si>
  <si>
    <r>
      <rPr>
        <sz val="10"/>
        <color rgb="FF000000"/>
        <rFont val="Arial"/>
        <family val="2"/>
        <charset val="1"/>
      </rPr>
      <t xml:space="preserve">ESCAVACAO E CARGA MATERIAL 1A CATEGORIA, UTILIZANDO TRATOR DE ESTEIRAS DE 110 A 160HP COM LAMINA, PESO OPERACIONAL * 13T E PA CARREGADEIRA COM 170 HP. </t>
    </r>
    <r>
      <rPr>
        <i/>
        <sz val="10"/>
        <color rgb="FF000000"/>
        <rFont val="Arial"/>
        <family val="2"/>
        <charset val="1"/>
      </rPr>
      <t>(Em jazida para construção da base de sub-leito)</t>
    </r>
  </si>
  <si>
    <r>
      <rPr>
        <sz val="10"/>
        <color rgb="FF000000"/>
        <rFont val="Arial"/>
        <family val="2"/>
        <charset val="1"/>
      </rPr>
      <t xml:space="preserve">TRANSPORTE LOCAL COM CAMINHAO BASCULANTE 6 M3, RODOVIA PAVIMENTADA, DM T 800 A 1.000 M </t>
    </r>
    <r>
      <rPr>
        <i/>
        <sz val="10"/>
        <color rgb="FF000000"/>
        <rFont val="Arial"/>
        <family val="2"/>
        <charset val="1"/>
      </rPr>
      <t>(Transporte de material da jazida ao local de aplicação do sub-leito)</t>
    </r>
  </si>
  <si>
    <t>4.6</t>
  </si>
  <si>
    <t>72961</t>
  </si>
  <si>
    <t xml:space="preserve">REGULARIZACAO E COMPACTACAO DE SUBLEITO ATE 20 CM DE ESPESSURA </t>
  </si>
  <si>
    <t>4.7</t>
  </si>
  <si>
    <t>72911</t>
  </si>
  <si>
    <t>BASE DE SOLO ARENOSO FINO, COMPACTACAO 100% PROCTOR MODIFICADO</t>
  </si>
  <si>
    <t>4.8</t>
  </si>
  <si>
    <t>72945</t>
  </si>
  <si>
    <t xml:space="preserve">IMPRIMACAO DE BASE DE PAVIMENTACAO COM EMULSAO CM-30 </t>
  </si>
  <si>
    <t>4.9</t>
  </si>
  <si>
    <t>72943</t>
  </si>
  <si>
    <t>PINTURA DE LIGACAO COM EMULSAO RR-2C</t>
  </si>
  <si>
    <t>4.10</t>
  </si>
  <si>
    <t>72960</t>
  </si>
  <si>
    <t>TRATAMENTO SUPERFICIAL TRIPULO - TST, COM EMULSAO RR-2C, INCLUSIVE CAPA SELANTE</t>
  </si>
  <si>
    <t>TOTAL COM BDI DE</t>
  </si>
  <si>
    <t>EUCLIDES DA CUNHA PTA, 29 DE MARÇO DE 2012.</t>
  </si>
  <si>
    <t>Eng.º Edson Luiz da Silva</t>
  </si>
  <si>
    <t>Ediberto Aparecido Zaupa</t>
  </si>
  <si>
    <t>Crea SP-5060740530/D</t>
  </si>
  <si>
    <t>Prefeito Municipal</t>
  </si>
  <si>
    <t>A.R.T. 9222122012035274</t>
  </si>
  <si>
    <t>MEMORIAL DE CALCULO</t>
  </si>
  <si>
    <r>
      <rPr>
        <b/>
        <sz val="11"/>
        <color rgb="FF000000"/>
        <rFont val="Calibri"/>
        <family val="2"/>
        <charset val="1"/>
      </rPr>
      <t>Cidade</t>
    </r>
    <r>
      <rPr>
        <sz val="11"/>
        <color rgb="FF000000"/>
        <rFont val="Calibri"/>
        <family val="2"/>
        <charset val="1"/>
      </rPr>
      <t xml:space="preserve"> : Euclides da Cunha Paulista - São Paulo</t>
    </r>
  </si>
  <si>
    <r>
      <rPr>
        <b/>
        <sz val="11"/>
        <color rgb="FF000000"/>
        <rFont val="Calibri"/>
        <family val="2"/>
        <charset val="1"/>
      </rPr>
      <t>Regime de execução</t>
    </r>
    <r>
      <rPr>
        <sz val="11"/>
        <color rgb="FF000000"/>
        <rFont val="Calibri"/>
        <family val="2"/>
        <charset val="1"/>
      </rPr>
      <t>: Empreitada Global</t>
    </r>
  </si>
  <si>
    <t>memorial de calculo</t>
  </si>
  <si>
    <t>02.08.020</t>
  </si>
  <si>
    <t>54.03.230</t>
  </si>
  <si>
    <t>54.03.210</t>
  </si>
  <si>
    <t>CREA 5060740530/D</t>
  </si>
  <si>
    <t>PREFEITO MUNICIPAL</t>
  </si>
  <si>
    <t>BDI Adotado:</t>
  </si>
  <si>
    <t>CRONOGRAMA FÍSICO - DESEMBOLSO E APLICAÇÃO DOS RECURSOS</t>
  </si>
  <si>
    <t>SECRETARIA DE PLANEJAMENTO E DESENVOLVIMENTO REGIONAL UNIDADE DE ARTICULAÇÃO COM MUNICÍPIOS</t>
  </si>
  <si>
    <t>MUNICIPIO</t>
  </si>
  <si>
    <t>DATA BASE</t>
  </si>
  <si>
    <t>EUCLIDES DA CUNHA PAULISTA/SP</t>
  </si>
  <si>
    <r>
      <rPr>
        <b/>
        <sz val="11"/>
        <color rgb="FF000000"/>
        <rFont val="Calibri"/>
        <family val="2"/>
        <charset val="1"/>
      </rPr>
      <t xml:space="preserve">OBRA: </t>
    </r>
    <r>
      <rPr>
        <sz val="11"/>
        <color rgb="FF000000"/>
        <rFont val="Calibri"/>
        <family val="2"/>
        <charset val="1"/>
      </rPr>
      <t>INFRAESTRUTURA URBANA-GALERIA DE ÁGUA PLUVIAL, BOCAS DE LOBO, PV´s E PAVIMENTAÇÃO ASFALTICA</t>
    </r>
  </si>
  <si>
    <t>PRAZO PROPOSTO</t>
  </si>
  <si>
    <t>INÍCIO: DATA DO CONVÊNIO</t>
  </si>
  <si>
    <t>FINAL: 360 DIAS A PARTIR DA DATA DA ASSINATURA DO CONVÊNIO</t>
  </si>
  <si>
    <t>ITEM</t>
  </si>
  <si>
    <t>SERVIÇOS</t>
  </si>
  <si>
    <t>UNIDADE</t>
  </si>
  <si>
    <t>1ª ETAPA</t>
  </si>
  <si>
    <t>TOTAL</t>
  </si>
  <si>
    <t>PERÍODO: 360 DIAS</t>
  </si>
  <si>
    <t>LIBERAÇÃO: EM ATÉ 30 DIAS APÓS A ASSINATURA DO CONVÊNIO</t>
  </si>
  <si>
    <t>PRAZO DE EXECUÇÃO: 330 DIAS</t>
  </si>
  <si>
    <t>1.0</t>
  </si>
  <si>
    <t>%</t>
  </si>
  <si>
    <t>R$</t>
  </si>
  <si>
    <t>2.0</t>
  </si>
  <si>
    <t>M</t>
  </si>
  <si>
    <t>3.0</t>
  </si>
  <si>
    <t>UND.</t>
  </si>
  <si>
    <t>4.0</t>
  </si>
  <si>
    <t>RECURSOS ESTADUAIS</t>
  </si>
  <si>
    <t>RECURSOS PRÓPRIOS</t>
  </si>
  <si>
    <t>ENG.º EDSON LUIZ DA SILVA</t>
  </si>
  <si>
    <t>EDIBERTO AP.º ZAUPA</t>
  </si>
  <si>
    <t>CREA SP 5060740530/D</t>
  </si>
  <si>
    <t>A.R.T. 92221220120317653</t>
  </si>
  <si>
    <t>CRONOGRAMA FÍSICO - FINANCEIRO</t>
  </si>
  <si>
    <t>PROPONENTE</t>
  </si>
  <si>
    <t>Município de Euclides da Cunha Paulista</t>
  </si>
  <si>
    <t>MUNICÍPIO:</t>
  </si>
  <si>
    <t>Euclides da Cunha Paulista/SP</t>
  </si>
  <si>
    <t>INTERVENÇÃO</t>
  </si>
  <si>
    <t>END. INTERVENÇÃO:</t>
  </si>
  <si>
    <t>N. CONTRATO</t>
  </si>
  <si>
    <t>VALOR</t>
  </si>
  <si>
    <t>ÍNDICE</t>
  </si>
  <si>
    <t>1º</t>
  </si>
  <si>
    <t>NO</t>
  </si>
  <si>
    <t>2º</t>
  </si>
  <si>
    <t>3º</t>
  </si>
  <si>
    <t>4º</t>
  </si>
  <si>
    <t>DO</t>
  </si>
  <si>
    <t>PERIODO</t>
  </si>
  <si>
    <t>SERVIÇO</t>
  </si>
  <si>
    <t>VALOR DA PARCELA C/ BASE NO VALOR TOTAL DA OBRA</t>
  </si>
  <si>
    <t>VALOR  ACUMULADO (R$)</t>
  </si>
  <si>
    <t>VALOR TOTAL DA OBRA (R$)</t>
  </si>
  <si>
    <t>Local: Rua: Justino de Andrade e Rua Albino Soares Linhares</t>
  </si>
  <si>
    <t>% ACUMULADO</t>
  </si>
  <si>
    <t>R$ ACUMULADO</t>
  </si>
  <si>
    <t>% PERIODO</t>
  </si>
  <si>
    <t>R$ PERIODO</t>
  </si>
  <si>
    <t>PMECP</t>
  </si>
  <si>
    <t>74205/002</t>
  </si>
  <si>
    <t>ABERTURA E PREPARO DE CAIXA ATÉ 40CM COM TRANSPORTE (95%)</t>
  </si>
  <si>
    <t>REGULARIZACAO E COMPACTACAO DE SUBLEITO ATE 20 CM DE ESPESSURA MÍNIMO DE (95% PN)</t>
  </si>
  <si>
    <t>72924</t>
  </si>
  <si>
    <t>BASE DE SOLO - BRITA (50/50), MISTURA EM USINA, COMPACTACAO 100% PROCTOR MODIFICADO, EXCLUSIVE ESCAVACAO, CARGA E TRANSPORTE, 20CM</t>
  </si>
  <si>
    <t>72958</t>
  </si>
  <si>
    <t>TRATAMENTO SUPERFICIAL DUPLO - TSD, COM EMULSAO RR-2C, 2,8cm</t>
  </si>
  <si>
    <t>RELATÓRIO DE MEDIÇÃO</t>
  </si>
  <si>
    <t>DATA</t>
  </si>
  <si>
    <t>TOTAL ACUMULADO</t>
  </si>
  <si>
    <t>A EXECUTAR</t>
  </si>
  <si>
    <r>
      <rPr>
        <sz val="11"/>
        <color rgb="FF000000"/>
        <rFont val="Calibri"/>
        <family val="2"/>
        <charset val="1"/>
      </rPr>
      <t>REATERRO DE VALA/CAVA SEM CONTROLE DE COMPACTAÇÃO , UTILIZANDO RETRO-ESCAVADEIRA E</t>
    </r>
    <r>
      <rPr>
        <u/>
        <sz val="11"/>
        <color rgb="FF000000"/>
        <rFont val="Calibri"/>
        <family val="2"/>
        <charset val="1"/>
      </rPr>
      <t xml:space="preserve"> </t>
    </r>
    <r>
      <rPr>
        <sz val="11"/>
        <color rgb="FF000000"/>
        <rFont val="Calibri"/>
        <family val="2"/>
        <charset val="1"/>
      </rPr>
      <t>COMPACTACADOR VIBRATORIO COM MATERIAL REAPROVEITADO</t>
    </r>
  </si>
  <si>
    <t>EUCLIDES DA CUNHA PTA,12 DE ABRIL DE 2012.</t>
  </si>
  <si>
    <t>BM1 - ESTA MEDIÇÃO</t>
  </si>
  <si>
    <t>OBJETO: INFRAESTRUTURA - GALERIA DE ÁGUAS PLUVIAIS, BOCAS DE LOBO E DISSIPADOR</t>
  </si>
  <si>
    <t>LOCAL: RUA JUSTINO DE ANDRADE</t>
  </si>
  <si>
    <t>MUNICÍPIO: EUCLIDES DA CUNHA PAULISTA</t>
  </si>
  <si>
    <t>BOLETIM DE MEDIÇÃO N.º 001</t>
  </si>
  <si>
    <t>FONTE</t>
  </si>
  <si>
    <t>CÓDIGO</t>
  </si>
  <si>
    <t>Ítem</t>
  </si>
  <si>
    <t>Descrição dos Serviços</t>
  </si>
  <si>
    <t>UNID.</t>
  </si>
  <si>
    <t>PREÇO UNITÁRIO</t>
  </si>
  <si>
    <t>Quantidade</t>
  </si>
  <si>
    <t>VALOR LICITADO</t>
  </si>
  <si>
    <t>INFRAESTRUTURA</t>
  </si>
  <si>
    <t>SINAPI AGO/2011</t>
  </si>
  <si>
    <t>SINAPI AGO/2012</t>
  </si>
  <si>
    <t>REATERRO DE VALA/CAVA SEM CONTROLE DE COMPACTAÇÃO , UTILIZANDO RETRO-ESCAVADEIRA E COMPACTADOR VIBRATORIO COM MATERIAL REAPROVEITADO</t>
  </si>
  <si>
    <t>SINAPI AGO/2013</t>
  </si>
  <si>
    <t>TUBOS DE CONCRETO</t>
  </si>
  <si>
    <t>DER</t>
  </si>
  <si>
    <t>Tubo de concreto d=0,40 m classe PA-1, incluso assentamento</t>
  </si>
  <si>
    <t xml:space="preserve">m </t>
  </si>
  <si>
    <t>24.16.11</t>
  </si>
  <si>
    <t>Tubo de concreto d=0,80 m classe PA-1  incluso assentamento</t>
  </si>
  <si>
    <t>24.16.15</t>
  </si>
  <si>
    <t>Tubo de concreto d=1,00 m classe PA-1  incluso assentamento</t>
  </si>
  <si>
    <t>BOCA DE LOBO</t>
  </si>
  <si>
    <t>73856/010</t>
  </si>
  <si>
    <t>POÇO DE VISITA</t>
  </si>
  <si>
    <t>EUCLIDES DA CUNHA PTA, 08 DE MARÇO DE 2012</t>
  </si>
  <si>
    <t>BOCAS DE LOBO, PV's,</t>
  </si>
  <si>
    <t>RECAPEAMENTO ASFÁLTICO, SOBRE ASFÁLTO    (3 CM DE CAPA ASFÁLTICA)</t>
  </si>
  <si>
    <t>código</t>
  </si>
  <si>
    <t>54.01.410</t>
  </si>
  <si>
    <t>Varrição de pavimento para recapeamento</t>
  </si>
  <si>
    <t>Imprimação betuminosa ligante</t>
  </si>
  <si>
    <t>54.03.200</t>
  </si>
  <si>
    <t>1.4</t>
  </si>
  <si>
    <t>1.5</t>
  </si>
  <si>
    <t>Christian Fuziki Ikeda</t>
  </si>
  <si>
    <t>Placa de identificação para obra 1,5x4,5m</t>
  </si>
  <si>
    <t>sem BDI</t>
  </si>
  <si>
    <t>com BDI</t>
  </si>
  <si>
    <t>1,5*4,5</t>
  </si>
  <si>
    <r>
      <t>m</t>
    </r>
    <r>
      <rPr>
        <sz val="13.5"/>
        <rFont val="Calibri"/>
        <family val="2"/>
      </rPr>
      <t>²</t>
    </r>
  </si>
  <si>
    <r>
      <t>m</t>
    </r>
    <r>
      <rPr>
        <sz val="13.5"/>
        <rFont val="Calibri"/>
        <family val="2"/>
      </rPr>
      <t>³</t>
    </r>
  </si>
  <si>
    <t>Camada de rolamento em concreto betuminoso usinado quente - CBUQ (e=3,0cm)</t>
  </si>
  <si>
    <t>Prefeito</t>
  </si>
  <si>
    <t>Concreto asfáltico usinado a quente - Binder (e=1,5cm)</t>
  </si>
  <si>
    <r>
      <t>Local</t>
    </r>
    <r>
      <rPr>
        <sz val="11"/>
        <color rgb="FF000000"/>
        <rFont val="Calibri"/>
        <family val="2"/>
        <charset val="1"/>
      </rPr>
      <t xml:space="preserve">: Centro - Rua Arlindo Nicacio de Lima,  Rua Geovane Pereira Lima e Avenida Jose Joaquim Mano, 
Vila Ferreira - Rua Lazaro Antonio dos Reis.
</t>
    </r>
  </si>
  <si>
    <t>883,68+728,88+1922,7+581,51+621,77+843,88</t>
  </si>
  <si>
    <t>5582,42*0,015</t>
  </si>
  <si>
    <t>5582,42*,03</t>
  </si>
  <si>
    <t>EUCLIDES DA CUNHA PTA, 28 DE AGOSTO DE 2019.</t>
  </si>
  <si>
    <r>
      <t>FONTE</t>
    </r>
    <r>
      <rPr>
        <sz val="11"/>
        <color rgb="FF000000"/>
        <rFont val="Calibri"/>
        <family val="2"/>
        <charset val="1"/>
      </rPr>
      <t>: CPOS 176</t>
    </r>
  </si>
  <si>
    <r>
      <t>CONVÊNIO</t>
    </r>
    <r>
      <rPr>
        <sz val="11"/>
        <color rgb="FF000000"/>
        <rFont val="Calibri"/>
        <family val="2"/>
        <charset val="1"/>
      </rPr>
      <t>: INFRAESTRUTURA URBANA</t>
    </r>
  </si>
  <si>
    <t>A.R.T.  28027230191124063</t>
  </si>
  <si>
    <t>REPAROS</t>
  </si>
  <si>
    <t>16.40.140</t>
  </si>
  <si>
    <t>CORREDOR DEFRONTE SL DE CURATIVOS</t>
  </si>
  <si>
    <t>33.10.010</t>
  </si>
  <si>
    <t>33.01.040</t>
  </si>
  <si>
    <t>Estucamento e lixamento de superficie deteriorada</t>
  </si>
  <si>
    <t>unid.</t>
  </si>
  <si>
    <t>EUCLIDES DA CUNHA PTA, 19 DE NOVEMBRO DE 2019.</t>
  </si>
  <si>
    <t>Reparos em cobertura, verificação de infiltração de agua pluvial, incluso reparos em calhas e/ou rufos e subst. de telha</t>
  </si>
  <si>
    <t>Tinta látex antimofo em laje e parede, inclusive preparo</t>
  </si>
  <si>
    <t>SAÍDA FUNDOS, PORTA METALICA</t>
  </si>
  <si>
    <t>CONSULTORIO MÉDICO 1</t>
  </si>
  <si>
    <t>41.31.010</t>
  </si>
  <si>
    <t>Luminária LED retangular de embutir com difusor translúcido, 4000 K, fluxo luminoso de 3520 a 3700 lm, potência de 31 a 37 W</t>
  </si>
  <si>
    <t>SANITÁRIO</t>
  </si>
  <si>
    <t>3.4</t>
  </si>
  <si>
    <t>3.6</t>
  </si>
  <si>
    <t>3.5</t>
  </si>
  <si>
    <t>3.7</t>
  </si>
  <si>
    <t>18.06.062</t>
  </si>
  <si>
    <t>Placa cerâmica esmaltada PEI-5 para área interna, com textura semirrugosa, grupo de absorção BIb, resistência química A, assentado com argamassa colante industrializada</t>
  </si>
  <si>
    <t>41.31.080</t>
  </si>
  <si>
    <t>Luminária LED redonda de embutir com difusor translúcido, 4000 K, fluxo luminoso de 800 a 1000 lm, potência de 9 a 10 W</t>
  </si>
  <si>
    <t>18.08.062</t>
  </si>
  <si>
    <t>19.01.390</t>
  </si>
  <si>
    <t>Soleira em granito, espessura de 2 cm e largura de 21 até 30 cm</t>
  </si>
  <si>
    <t>3.8</t>
  </si>
  <si>
    <t>3.9</t>
  </si>
  <si>
    <t>Revestimento em porcelanato esmaltado polido na COR BRANCA para área interna e ambiente com tráfego médio, grupo de absorção BIa, assentado com argamassa colante industrializada, rejuntado PEÇAS 1,00X1,00M</t>
  </si>
  <si>
    <t>m</t>
  </si>
  <si>
    <t>18.11.042</t>
  </si>
  <si>
    <t>30.01.030</t>
  </si>
  <si>
    <t>Barra de apoio reta, para pessoas com mobilidade reduzida, em tubo de aço inoxidável de 1 1/2´ x 800 mm</t>
  </si>
  <si>
    <t>30.01.130</t>
  </si>
  <si>
    <t>Barra de proteção para lavatório, para pessoas com mobilidade reduzida, em tubo de alumínio acabamento com pintura epóxi</t>
  </si>
  <si>
    <t>3.10</t>
  </si>
  <si>
    <t>3.11</t>
  </si>
  <si>
    <t>3.12</t>
  </si>
  <si>
    <t>3.13</t>
  </si>
  <si>
    <t>3.14</t>
  </si>
  <si>
    <t>3.15</t>
  </si>
  <si>
    <t>3.16</t>
  </si>
  <si>
    <t>44.01.070</t>
  </si>
  <si>
    <t>Bacia sifonada de louça sem tampa com saída horizontal - 6 litros</t>
  </si>
  <si>
    <t>44.01.100</t>
  </si>
  <si>
    <t>Lavatório de louça sem coluna</t>
  </si>
  <si>
    <t>3.17</t>
  </si>
  <si>
    <t>CENTRO DE SAÚDE</t>
  </si>
  <si>
    <t>Local: Rua Helena Kuill Diniz, centro</t>
  </si>
  <si>
    <t>Revestimento em placa cerâmica esmaltada de 20x20 cm (min.), tipo branco, assentado e rejuntado com argamassa industrializada</t>
  </si>
  <si>
    <t>CONSULTORIO MÉDICO 2</t>
  </si>
  <si>
    <t>4.11</t>
  </si>
  <si>
    <t>4.12</t>
  </si>
  <si>
    <t>4.13</t>
  </si>
  <si>
    <t>4.14</t>
  </si>
  <si>
    <t>4.15</t>
  </si>
  <si>
    <t>4.16</t>
  </si>
  <si>
    <t>4.17</t>
  </si>
  <si>
    <t>SANITÁRIO 2</t>
  </si>
  <si>
    <t>44.03.300</t>
  </si>
  <si>
    <t>Torneira volante tipo alavanca</t>
  </si>
  <si>
    <t>3.18</t>
  </si>
  <si>
    <t>Barra de proteção para lavatório, para pessoas com mobilidade reduzida, em tubo de aço inoxidavel acabamento com pintura epóxi</t>
  </si>
  <si>
    <t>28.01.040</t>
  </si>
  <si>
    <t>3.19</t>
  </si>
  <si>
    <t>Ferragem completa com maçaneta tipo alavanca, para porta interna com 1 folha</t>
  </si>
  <si>
    <t>23.13.002</t>
  </si>
  <si>
    <t>Porta lisa de madeira, interna "PIM", para acabamento em pintura, padrão dimensional médio/pesado, com ferragens, completo - 90 x 210 cm</t>
  </si>
  <si>
    <t>SANITÁRIO 3 CORREDOR</t>
  </si>
  <si>
    <t>5.0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</si>
  <si>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</si>
  <si>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</si>
  <si>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</si>
  <si>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</si>
  <si>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</si>
  <si>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</si>
  <si>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</si>
  <si>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</si>
  <si>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</si>
  <si>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</si>
  <si>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</si>
  <si>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6.0</t>
  </si>
  <si>
    <t>FORRO EM PVC</t>
  </si>
  <si>
    <t>22.03.070</t>
  </si>
  <si>
    <t>Forro em lâmina de PVC, em areas danificadas</t>
  </si>
  <si>
    <t>RUA HELENA KUILL DINIZ</t>
  </si>
</sst>
</file>

<file path=xl/styles.xml><?xml version="1.0" encoding="utf-8"?>
<styleSheet xmlns="http://schemas.openxmlformats.org/spreadsheetml/2006/main">
  <numFmts count="12">
    <numFmt numFmtId="43" formatCode="_-* #,##0.00_-;\-* #,##0.00_-;_-* &quot;-&quot;??_-;_-@_-"/>
    <numFmt numFmtId="164" formatCode="_-* #,##0.00_-;\-* #,##0.00_-;_-* \-??_-;_-@_-"/>
    <numFmt numFmtId="165" formatCode="_-&quot;R$ &quot;* #,##0.00_-;&quot;-R$ &quot;* #,##0.00_-;_-&quot;R$ &quot;* \-??_-;_-@_-"/>
    <numFmt numFmtId="166" formatCode="&quot;R$ &quot;#,##0.00;[Red]&quot;-R$ &quot;#,##0.00"/>
    <numFmt numFmtId="167" formatCode="mmm\-yy;@"/>
    <numFmt numFmtId="168" formatCode="_(&quot;R$ &quot;* #,##0.00_);_(&quot;R$ &quot;* \(#,##0.00\);_(&quot;R$ &quot;* \-??_);_(@_)"/>
    <numFmt numFmtId="169" formatCode="d/mmm/yy"/>
    <numFmt numFmtId="170" formatCode="#,##0.00_);\(#,##0.00\)"/>
    <numFmt numFmtId="171" formatCode="#,##0.00_);[Red]\-#,##0.00"/>
    <numFmt numFmtId="172" formatCode="d/m/yyyy"/>
    <numFmt numFmtId="173" formatCode="_(&quot;R$&quot;* #,##0.00_);_(&quot;R$&quot;* \(#,##0.00\);_(&quot;R$&quot;* \-??_);_(@_)"/>
    <numFmt numFmtId="174" formatCode="&quot;R$ &quot;#,##0.00"/>
  </numFmts>
  <fonts count="53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u/>
      <sz val="11"/>
      <color rgb="FF000000"/>
      <name val="Calibri"/>
      <family val="2"/>
      <charset val="1"/>
    </font>
    <font>
      <sz val="8"/>
      <color rgb="FF000000"/>
      <name val="Verdana"/>
      <family val="2"/>
      <charset val="1"/>
    </font>
    <font>
      <sz val="10"/>
      <color rgb="FF000000"/>
      <name val="Arial"/>
      <family val="2"/>
      <charset val="1"/>
    </font>
    <font>
      <sz val="8"/>
      <name val="Arial"/>
      <family val="2"/>
      <charset val="1"/>
    </font>
    <font>
      <sz val="12"/>
      <color rgb="FF000000"/>
      <name val="Arial"/>
      <family val="2"/>
      <charset val="1"/>
    </font>
    <font>
      <i/>
      <sz val="10"/>
      <color rgb="FF000000"/>
      <name val="Arial"/>
      <family val="2"/>
      <charset val="1"/>
    </font>
    <font>
      <b/>
      <sz val="12"/>
      <name val="Arial"/>
      <family val="2"/>
      <charset val="1"/>
    </font>
    <font>
      <sz val="9"/>
      <name val="Arial"/>
      <family val="2"/>
      <charset val="1"/>
    </font>
    <font>
      <b/>
      <sz val="18"/>
      <color rgb="FF000000"/>
      <name val="Calibri"/>
      <family val="2"/>
      <charset val="1"/>
    </font>
    <font>
      <b/>
      <sz val="12"/>
      <color rgb="FFFFFF00"/>
      <name val="Calibri"/>
      <family val="2"/>
      <charset val="1"/>
    </font>
    <font>
      <b/>
      <sz val="12"/>
      <color rgb="FFFFFFFF"/>
      <name val="Calibri"/>
      <family val="2"/>
      <charset val="1"/>
    </font>
    <font>
      <sz val="14"/>
      <color rgb="FF000000"/>
      <name val="Calibri"/>
      <family val="2"/>
      <charset val="1"/>
    </font>
    <font>
      <sz val="12"/>
      <name val="Arial"/>
      <family val="2"/>
      <charset val="1"/>
    </font>
    <font>
      <sz val="14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2"/>
      <color rgb="FFFFFFFF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2"/>
      <color rgb="FF000000"/>
      <name val="Arial"/>
      <family val="2"/>
      <charset val="1"/>
    </font>
    <font>
      <sz val="11"/>
      <name val="Arial"/>
      <family val="2"/>
      <charset val="1"/>
    </font>
    <font>
      <sz val="12"/>
      <name val="Calibri"/>
      <family val="2"/>
      <charset val="1"/>
    </font>
    <font>
      <sz val="11"/>
      <color rgb="FFFFFFFF"/>
      <name val="Calibri"/>
      <family val="2"/>
      <charset val="1"/>
    </font>
    <font>
      <b/>
      <sz val="14"/>
      <color rgb="FFFFFFFF"/>
      <name val="Calibri"/>
      <family val="2"/>
      <charset val="1"/>
    </font>
    <font>
      <b/>
      <sz val="14"/>
      <color rgb="FF000000"/>
      <name val="Arial"/>
      <family val="2"/>
      <charset val="1"/>
    </font>
    <font>
      <b/>
      <sz val="12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8"/>
      <name val="Arial"/>
      <family val="2"/>
      <charset val="1"/>
    </font>
    <font>
      <b/>
      <sz val="9"/>
      <name val="Arial"/>
      <family val="2"/>
      <charset val="1"/>
    </font>
    <font>
      <b/>
      <sz val="10"/>
      <name val="Arial"/>
      <family val="2"/>
      <charset val="1"/>
    </font>
    <font>
      <b/>
      <i/>
      <sz val="11"/>
      <name val="Arial"/>
      <family val="2"/>
      <charset val="1"/>
    </font>
    <font>
      <i/>
      <sz val="11"/>
      <color rgb="FF000000"/>
      <name val="Calibri"/>
      <family val="2"/>
      <charset val="1"/>
    </font>
    <font>
      <b/>
      <i/>
      <sz val="12"/>
      <color rgb="FF000000"/>
      <name val="Calibri"/>
      <family val="2"/>
      <charset val="1"/>
    </font>
    <font>
      <b/>
      <sz val="14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indexed="8"/>
      <name val="MS Sans Serif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11"/>
      <name val="Calibri"/>
      <family val="2"/>
      <charset val="1"/>
    </font>
    <font>
      <sz val="8"/>
      <color rgb="FF000000"/>
      <name val="Calibri"/>
      <family val="2"/>
      <charset val="1"/>
    </font>
    <font>
      <sz val="13.5"/>
      <name val="MS Sans Serif"/>
      <family val="2"/>
    </font>
    <font>
      <sz val="13.5"/>
      <name val="Calibri"/>
      <family val="2"/>
    </font>
    <font>
      <sz val="12"/>
      <name val="MS Sans Serif"/>
      <family val="2"/>
    </font>
    <font>
      <b/>
      <sz val="12"/>
      <name val="MS Sans Serif"/>
      <family val="2"/>
    </font>
  </fonts>
  <fills count="11">
    <fill>
      <patternFill patternType="none"/>
    </fill>
    <fill>
      <patternFill patternType="gray125"/>
    </fill>
    <fill>
      <patternFill patternType="solid">
        <fgColor rgb="FFDDDDDD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DDDDDD"/>
      </patternFill>
    </fill>
    <fill>
      <patternFill patternType="solid">
        <fgColor rgb="FFFFFF99"/>
        <bgColor rgb="FFFFFFCC"/>
      </patternFill>
    </fill>
    <fill>
      <patternFill patternType="solid">
        <fgColor rgb="FFBFBFBF"/>
        <bgColor rgb="FFD9D9D9"/>
      </patternFill>
    </fill>
    <fill>
      <patternFill patternType="solid">
        <fgColor rgb="FFFFFF00"/>
        <bgColor indexed="64"/>
      </patternFill>
    </fill>
  </fills>
  <borders count="7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 style="double">
        <color auto="1"/>
      </top>
      <bottom style="dashed">
        <color auto="1"/>
      </bottom>
      <diagonal/>
    </border>
    <border>
      <left/>
      <right/>
      <top style="double">
        <color auto="1"/>
      </top>
      <bottom style="dashed">
        <color auto="1"/>
      </bottom>
      <diagonal/>
    </border>
    <border>
      <left/>
      <right style="double">
        <color auto="1"/>
      </right>
      <top style="double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/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 style="double">
        <color auto="1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ouble">
        <color auto="1"/>
      </bottom>
      <diagonal/>
    </border>
    <border>
      <left style="dashed">
        <color auto="1"/>
      </left>
      <right/>
      <top style="dashed">
        <color auto="1"/>
      </top>
      <bottom style="double">
        <color auto="1"/>
      </bottom>
      <diagonal/>
    </border>
    <border>
      <left/>
      <right style="double">
        <color auto="1"/>
      </right>
      <top style="dashed">
        <color auto="1"/>
      </top>
      <bottom style="double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/>
      <right style="medium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dashed">
        <color auto="1"/>
      </top>
      <bottom style="medium">
        <color auto="1"/>
      </bottom>
      <diagonal/>
    </border>
    <border>
      <left/>
      <right/>
      <top style="dashed">
        <color auto="1"/>
      </top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164" fontId="43" fillId="0" borderId="0" applyBorder="0" applyProtection="0"/>
    <xf numFmtId="165" fontId="43" fillId="0" borderId="0" applyBorder="0" applyProtection="0"/>
    <xf numFmtId="9" fontId="43" fillId="0" borderId="0" applyBorder="0" applyProtection="0"/>
    <xf numFmtId="0" fontId="3" fillId="2" borderId="0" applyBorder="0" applyProtection="0"/>
    <xf numFmtId="0" fontId="44" fillId="0" borderId="0"/>
    <xf numFmtId="43" fontId="1" fillId="0" borderId="0" applyFont="0" applyFill="0" applyBorder="0" applyAlignment="0" applyProtection="0"/>
  </cellStyleXfs>
  <cellXfs count="407">
    <xf numFmtId="0" fontId="0" fillId="0" borderId="0" xfId="0"/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164" fontId="0" fillId="0" borderId="1" xfId="1" applyFont="1" applyBorder="1" applyAlignment="1" applyProtection="1"/>
    <xf numFmtId="165" fontId="0" fillId="0" borderId="1" xfId="2" applyFont="1" applyBorder="1" applyAlignment="1" applyProtection="1"/>
    <xf numFmtId="0" fontId="0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165" fontId="0" fillId="0" borderId="1" xfId="2" applyFont="1" applyBorder="1" applyAlignment="1" applyProtection="1">
      <alignment horizontal="center" vertical="center"/>
    </xf>
    <xf numFmtId="165" fontId="0" fillId="0" borderId="0" xfId="0" applyNumberFormat="1"/>
    <xf numFmtId="0" fontId="6" fillId="0" borderId="0" xfId="0" applyFont="1"/>
    <xf numFmtId="0" fontId="7" fillId="0" borderId="0" xfId="0" applyFont="1" applyAlignment="1">
      <alignment horizontal="center"/>
    </xf>
    <xf numFmtId="0" fontId="8" fillId="3" borderId="3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wrapText="1"/>
    </xf>
    <xf numFmtId="0" fontId="8" fillId="4" borderId="3" xfId="0" applyFont="1" applyFill="1" applyBorder="1"/>
    <xf numFmtId="0" fontId="2" fillId="4" borderId="3" xfId="0" applyFont="1" applyFill="1" applyBorder="1"/>
    <xf numFmtId="164" fontId="2" fillId="4" borderId="3" xfId="1" applyFont="1" applyFill="1" applyBorder="1" applyAlignment="1" applyProtection="1"/>
    <xf numFmtId="165" fontId="2" fillId="4" borderId="3" xfId="2" applyFont="1" applyFill="1" applyBorder="1" applyAlignment="1" applyProtection="1"/>
    <xf numFmtId="165" fontId="8" fillId="4" borderId="3" xfId="2" applyFont="1" applyFill="1" applyBorder="1" applyAlignment="1" applyProtection="1"/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/>
    </xf>
    <xf numFmtId="164" fontId="0" fillId="0" borderId="3" xfId="1" applyFont="1" applyBorder="1" applyAlignment="1" applyProtection="1">
      <alignment vertical="center"/>
    </xf>
    <xf numFmtId="165" fontId="0" fillId="0" borderId="3" xfId="2" applyFont="1" applyBorder="1" applyAlignment="1" applyProtection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/>
    </xf>
    <xf numFmtId="164" fontId="2" fillId="4" borderId="3" xfId="1" applyFont="1" applyFill="1" applyBorder="1" applyAlignment="1" applyProtection="1">
      <alignment vertical="center"/>
    </xf>
    <xf numFmtId="165" fontId="2" fillId="4" borderId="3" xfId="2" applyFont="1" applyFill="1" applyBorder="1" applyAlignment="1" applyProtection="1">
      <alignment horizontal="center" vertical="center"/>
    </xf>
    <xf numFmtId="165" fontId="8" fillId="4" borderId="3" xfId="2" applyFont="1" applyFill="1" applyBorder="1" applyAlignment="1" applyProtection="1">
      <alignment horizontal="center" vertical="center"/>
    </xf>
    <xf numFmtId="0" fontId="2" fillId="0" borderId="0" xfId="0" applyFont="1"/>
    <xf numFmtId="0" fontId="0" fillId="0" borderId="3" xfId="0" applyFont="1" applyBorder="1"/>
    <xf numFmtId="0" fontId="10" fillId="0" borderId="3" xfId="0" applyFont="1" applyBorder="1"/>
    <xf numFmtId="0" fontId="8" fillId="4" borderId="2" xfId="0" applyFont="1" applyFill="1" applyBorder="1" applyAlignment="1">
      <alignment horizontal="center"/>
    </xf>
    <xf numFmtId="0" fontId="0" fillId="0" borderId="3" xfId="0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8" fillId="4" borderId="3" xfId="0" applyFont="1" applyFill="1" applyBorder="1" applyAlignment="1">
      <alignment horizontal="center"/>
    </xf>
    <xf numFmtId="164" fontId="4" fillId="4" borderId="3" xfId="1" applyFont="1" applyFill="1" applyBorder="1" applyAlignment="1" applyProtection="1">
      <alignment vertical="center"/>
    </xf>
    <xf numFmtId="166" fontId="8" fillId="4" borderId="3" xfId="2" applyNumberFormat="1" applyFont="1" applyFill="1" applyBorder="1" applyAlignment="1" applyProtection="1">
      <alignment horizontal="center" vertical="center"/>
    </xf>
    <xf numFmtId="0" fontId="0" fillId="0" borderId="2" xfId="0" applyFont="1" applyBorder="1" applyAlignment="1">
      <alignment horizontal="center"/>
    </xf>
    <xf numFmtId="49" fontId="11" fillId="0" borderId="4" xfId="0" applyNumberFormat="1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>
      <alignment horizontal="justify" vertical="center" wrapText="1"/>
    </xf>
    <xf numFmtId="49" fontId="13" fillId="0" borderId="4" xfId="0" applyNumberFormat="1" applyFont="1" applyBorder="1" applyAlignment="1" applyProtection="1">
      <alignment horizontal="center" vertical="center"/>
      <protection locked="0"/>
    </xf>
    <xf numFmtId="0" fontId="0" fillId="0" borderId="3" xfId="2" applyNumberFormat="1" applyFont="1" applyBorder="1" applyAlignment="1" applyProtection="1">
      <alignment vertical="center"/>
    </xf>
    <xf numFmtId="49" fontId="11" fillId="0" borderId="4" xfId="0" applyNumberFormat="1" applyFont="1" applyBorder="1" applyAlignment="1" applyProtection="1">
      <alignment horizontal="justify" vertical="center" wrapText="1"/>
      <protection locked="0"/>
    </xf>
    <xf numFmtId="49" fontId="11" fillId="0" borderId="4" xfId="0" applyNumberFormat="1" applyFont="1" applyBorder="1" applyAlignment="1" applyProtection="1">
      <alignment horizontal="justify" vertical="center"/>
      <protection locked="0"/>
    </xf>
    <xf numFmtId="49" fontId="11" fillId="0" borderId="3" xfId="0" applyNumberFormat="1" applyFont="1" applyBorder="1" applyAlignment="1" applyProtection="1">
      <alignment horizontal="center" vertical="center"/>
      <protection locked="0"/>
    </xf>
    <xf numFmtId="49" fontId="11" fillId="0" borderId="3" xfId="0" applyNumberFormat="1" applyFont="1" applyBorder="1" applyAlignment="1" applyProtection="1">
      <alignment horizontal="justify" vertical="center"/>
      <protection locked="0"/>
    </xf>
    <xf numFmtId="49" fontId="13" fillId="0" borderId="3" xfId="0" applyNumberFormat="1" applyFont="1" applyBorder="1" applyAlignment="1" applyProtection="1">
      <alignment horizontal="center" vertical="center"/>
      <protection locked="0"/>
    </xf>
    <xf numFmtId="0" fontId="2" fillId="5" borderId="2" xfId="0" applyFont="1" applyFill="1" applyBorder="1"/>
    <xf numFmtId="0" fontId="2" fillId="5" borderId="3" xfId="0" applyFont="1" applyFill="1" applyBorder="1"/>
    <xf numFmtId="0" fontId="15" fillId="5" borderId="3" xfId="0" applyFont="1" applyFill="1" applyBorder="1" applyAlignment="1">
      <alignment horizontal="right" vertical="center" wrapText="1"/>
    </xf>
    <xf numFmtId="9" fontId="8" fillId="5" borderId="3" xfId="3" applyFont="1" applyFill="1" applyBorder="1" applyAlignment="1" applyProtection="1">
      <alignment horizontal="left"/>
    </xf>
    <xf numFmtId="0" fontId="8" fillId="5" borderId="3" xfId="0" applyFont="1" applyFill="1" applyBorder="1"/>
    <xf numFmtId="165" fontId="8" fillId="5" borderId="5" xfId="0" applyNumberFormat="1" applyFont="1" applyFill="1" applyBorder="1"/>
    <xf numFmtId="0" fontId="16" fillId="0" borderId="6" xfId="0" applyFont="1" applyBorder="1" applyAlignment="1">
      <alignment horizontal="center" vertical="center"/>
    </xf>
    <xf numFmtId="0" fontId="0" fillId="0" borderId="0" xfId="0" applyFont="1"/>
    <xf numFmtId="0" fontId="11" fillId="0" borderId="0" xfId="0" applyFont="1" applyBorder="1" applyAlignment="1" applyProtection="1">
      <protection locked="0"/>
    </xf>
    <xf numFmtId="0" fontId="4" fillId="0" borderId="0" xfId="0" applyFont="1"/>
    <xf numFmtId="0" fontId="0" fillId="0" borderId="7" xfId="0" applyBorder="1" applyAlignment="1">
      <alignment horizontal="right"/>
    </xf>
    <xf numFmtId="9" fontId="0" fillId="0" borderId="8" xfId="0" applyNumberFormat="1" applyBorder="1" applyAlignment="1">
      <alignment horizontal="left"/>
    </xf>
    <xf numFmtId="0" fontId="0" fillId="0" borderId="0" xfId="0" applyBorder="1"/>
    <xf numFmtId="0" fontId="4" fillId="0" borderId="0" xfId="0" applyFont="1" applyAlignment="1">
      <alignment horizontal="left"/>
    </xf>
    <xf numFmtId="0" fontId="18" fillId="3" borderId="5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/>
    </xf>
    <xf numFmtId="165" fontId="24" fillId="0" borderId="3" xfId="2" applyFont="1" applyBorder="1" applyAlignment="1" applyProtection="1">
      <alignment horizontal="center" vertical="center"/>
    </xf>
    <xf numFmtId="165" fontId="24" fillId="0" borderId="5" xfId="2" applyFont="1" applyBorder="1" applyAlignment="1" applyProtection="1">
      <alignment horizontal="center" vertical="center"/>
    </xf>
    <xf numFmtId="0" fontId="8" fillId="0" borderId="3" xfId="0" applyFont="1" applyBorder="1"/>
    <xf numFmtId="164" fontId="2" fillId="0" borderId="3" xfId="2" applyNumberFormat="1" applyFont="1" applyBorder="1" applyAlignment="1" applyProtection="1">
      <alignment vertical="center"/>
    </xf>
    <xf numFmtId="49" fontId="13" fillId="0" borderId="3" xfId="0" applyNumberFormat="1" applyFont="1" applyBorder="1" applyAlignment="1" applyProtection="1">
      <alignment horizontal="justify" vertical="center"/>
      <protection locked="0"/>
    </xf>
    <xf numFmtId="0" fontId="25" fillId="0" borderId="9" xfId="0" applyFont="1" applyBorder="1" applyAlignment="1">
      <alignment horizontal="center"/>
    </xf>
    <xf numFmtId="49" fontId="26" fillId="0" borderId="0" xfId="0" applyNumberFormat="1" applyFont="1" applyBorder="1" applyAlignment="1" applyProtection="1">
      <alignment horizontal="justify" vertical="center"/>
      <protection locked="0"/>
    </xf>
    <xf numFmtId="49" fontId="22" fillId="0" borderId="0" xfId="0" applyNumberFormat="1" applyFont="1" applyBorder="1" applyAlignment="1" applyProtection="1">
      <alignment horizontal="center" vertical="center"/>
      <protection locked="0"/>
    </xf>
    <xf numFmtId="49" fontId="23" fillId="0" borderId="0" xfId="0" applyNumberFormat="1" applyFont="1" applyBorder="1" applyAlignment="1" applyProtection="1">
      <alignment horizontal="center" vertical="center"/>
      <protection locked="0"/>
    </xf>
    <xf numFmtId="164" fontId="2" fillId="0" borderId="0" xfId="2" applyNumberFormat="1" applyFont="1" applyBorder="1" applyAlignment="1" applyProtection="1">
      <alignment vertical="center"/>
    </xf>
    <xf numFmtId="165" fontId="19" fillId="0" borderId="9" xfId="2" applyFont="1" applyBorder="1" applyAlignment="1" applyProtection="1">
      <alignment vertical="center"/>
    </xf>
    <xf numFmtId="49" fontId="22" fillId="0" borderId="3" xfId="0" applyNumberFormat="1" applyFont="1" applyBorder="1" applyAlignment="1" applyProtection="1">
      <alignment horizontal="center" vertical="center"/>
      <protection locked="0"/>
    </xf>
    <xf numFmtId="165" fontId="29" fillId="0" borderId="0" xfId="2" applyFont="1" applyBorder="1" applyAlignment="1" applyProtection="1">
      <alignment horizontal="center" vertical="center"/>
    </xf>
    <xf numFmtId="49" fontId="23" fillId="0" borderId="3" xfId="0" applyNumberFormat="1" applyFont="1" applyBorder="1" applyAlignment="1" applyProtection="1">
      <alignment horizontal="center" vertical="center"/>
      <protection locked="0"/>
    </xf>
    <xf numFmtId="0" fontId="29" fillId="0" borderId="0" xfId="0" applyFont="1"/>
    <xf numFmtId="0" fontId="2" fillId="0" borderId="0" xfId="0" applyFont="1" applyBorder="1"/>
    <xf numFmtId="0" fontId="15" fillId="0" borderId="0" xfId="0" applyFont="1" applyBorder="1" applyAlignment="1">
      <alignment horizontal="right" vertical="center" wrapText="1"/>
    </xf>
    <xf numFmtId="9" fontId="25" fillId="0" borderId="0" xfId="3" applyFont="1" applyBorder="1" applyAlignment="1" applyProtection="1">
      <alignment horizontal="left"/>
    </xf>
    <xf numFmtId="0" fontId="8" fillId="0" borderId="0" xfId="0" applyFont="1" applyBorder="1"/>
    <xf numFmtId="0" fontId="19" fillId="0" borderId="3" xfId="0" applyFont="1" applyBorder="1"/>
    <xf numFmtId="165" fontId="30" fillId="0" borderId="5" xfId="0" applyNumberFormat="1" applyFont="1" applyBorder="1"/>
    <xf numFmtId="0" fontId="16" fillId="0" borderId="0" xfId="0" applyFont="1" applyBorder="1" applyAlignment="1">
      <alignment horizontal="center" vertical="center"/>
    </xf>
    <xf numFmtId="0" fontId="25" fillId="0" borderId="0" xfId="0" applyFont="1"/>
    <xf numFmtId="0" fontId="31" fillId="0" borderId="0" xfId="0" applyFont="1" applyBorder="1" applyAlignment="1" applyProtection="1">
      <protection locked="0"/>
    </xf>
    <xf numFmtId="0" fontId="8" fillId="3" borderId="5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165" fontId="25" fillId="0" borderId="5" xfId="0" applyNumberFormat="1" applyFont="1" applyBorder="1"/>
    <xf numFmtId="0" fontId="26" fillId="0" borderId="0" xfId="0" applyFont="1" applyBorder="1" applyAlignment="1" applyProtection="1">
      <protection locked="0"/>
    </xf>
    <xf numFmtId="0" fontId="4" fillId="7" borderId="1" xfId="0" applyFont="1" applyFill="1" applyBorder="1"/>
    <xf numFmtId="167" fontId="0" fillId="0" borderId="1" xfId="0" applyNumberFormat="1" applyFont="1" applyBorder="1" applyAlignment="1">
      <alignment horizontal="center"/>
    </xf>
    <xf numFmtId="0" fontId="4" fillId="0" borderId="12" xfId="0" applyFont="1" applyBorder="1" applyAlignment="1">
      <alignment vertical="top"/>
    </xf>
    <xf numFmtId="0" fontId="4" fillId="7" borderId="10" xfId="0" applyFont="1" applyFill="1" applyBorder="1" applyAlignment="1">
      <alignment horizontal="center"/>
    </xf>
    <xf numFmtId="0" fontId="25" fillId="7" borderId="1" xfId="0" applyFont="1" applyFill="1" applyBorder="1" applyAlignment="1">
      <alignment vertical="center"/>
    </xf>
    <xf numFmtId="0" fontId="4" fillId="7" borderId="1" xfId="0" applyFont="1" applyFill="1" applyBorder="1" applyAlignment="1">
      <alignment horizontal="center"/>
    </xf>
    <xf numFmtId="0" fontId="0" fillId="0" borderId="10" xfId="0" applyBorder="1"/>
    <xf numFmtId="0" fontId="25" fillId="0" borderId="13" xfId="0" applyFont="1" applyBorder="1" applyAlignment="1">
      <alignment vertical="center"/>
    </xf>
    <xf numFmtId="0" fontId="4" fillId="0" borderId="7" xfId="0" applyFont="1" applyBorder="1"/>
    <xf numFmtId="0" fontId="4" fillId="0" borderId="8" xfId="0" applyFont="1" applyBorder="1"/>
    <xf numFmtId="0" fontId="25" fillId="0" borderId="14" xfId="0" applyFont="1" applyBorder="1" applyAlignment="1">
      <alignment vertical="center"/>
    </xf>
    <xf numFmtId="0" fontId="4" fillId="0" borderId="15" xfId="0" applyFont="1" applyBorder="1"/>
    <xf numFmtId="0" fontId="4" fillId="0" borderId="11" xfId="0" applyFont="1" applyBorder="1"/>
    <xf numFmtId="0" fontId="25" fillId="0" borderId="16" xfId="0" applyFont="1" applyBorder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5" fillId="0" borderId="15" xfId="0" applyFont="1" applyBorder="1" applyAlignment="1">
      <alignment vertical="center"/>
    </xf>
    <xf numFmtId="0" fontId="0" fillId="0" borderId="1" xfId="0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17" xfId="0" applyBorder="1"/>
    <xf numFmtId="0" fontId="0" fillId="0" borderId="0" xfId="0" applyBorder="1" applyAlignment="1">
      <alignment horizontal="left"/>
    </xf>
    <xf numFmtId="168" fontId="33" fillId="0" borderId="0" xfId="2" applyNumberFormat="1" applyFont="1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0" fillId="0" borderId="18" xfId="0" applyBorder="1"/>
    <xf numFmtId="0" fontId="31" fillId="6" borderId="19" xfId="0" applyFont="1" applyFill="1" applyBorder="1" applyAlignment="1">
      <alignment vertical="center"/>
    </xf>
    <xf numFmtId="0" fontId="34" fillId="7" borderId="20" xfId="0" applyFont="1" applyFill="1" applyBorder="1" applyAlignment="1">
      <alignment horizontal="justify" vertical="center"/>
    </xf>
    <xf numFmtId="0" fontId="11" fillId="6" borderId="21" xfId="0" applyFont="1" applyFill="1" applyBorder="1" applyAlignment="1" applyProtection="1">
      <alignment vertical="center"/>
      <protection locked="0"/>
    </xf>
    <xf numFmtId="0" fontId="11" fillId="6" borderId="22" xfId="0" applyFont="1" applyFill="1" applyBorder="1" applyAlignment="1" applyProtection="1">
      <alignment vertical="center"/>
      <protection locked="0"/>
    </xf>
    <xf numFmtId="0" fontId="34" fillId="0" borderId="22" xfId="0" applyFont="1" applyBorder="1" applyAlignment="1">
      <alignment vertical="center"/>
    </xf>
    <xf numFmtId="0" fontId="34" fillId="0" borderId="23" xfId="0" applyFont="1" applyBorder="1" applyAlignment="1">
      <alignment vertical="center"/>
    </xf>
    <xf numFmtId="0" fontId="34" fillId="7" borderId="25" xfId="0" applyFont="1" applyFill="1" applyBorder="1" applyAlignment="1">
      <alignment horizontal="justify" vertical="center"/>
    </xf>
    <xf numFmtId="0" fontId="35" fillId="6" borderId="5" xfId="0" applyFont="1" applyFill="1" applyBorder="1" applyAlignment="1" applyProtection="1">
      <alignment vertical="center"/>
      <protection locked="0"/>
    </xf>
    <xf numFmtId="0" fontId="11" fillId="6" borderId="9" xfId="0" applyFont="1" applyFill="1" applyBorder="1" applyAlignment="1" applyProtection="1">
      <alignment vertical="center"/>
      <protection locked="0"/>
    </xf>
    <xf numFmtId="0" fontId="34" fillId="0" borderId="9" xfId="0" applyFont="1" applyBorder="1" applyAlignment="1">
      <alignment vertical="center"/>
    </xf>
    <xf numFmtId="0" fontId="34" fillId="0" borderId="26" xfId="0" applyFont="1" applyBorder="1" applyAlignment="1">
      <alignment vertical="center"/>
    </xf>
    <xf numFmtId="0" fontId="34" fillId="7" borderId="28" xfId="0" applyFont="1" applyFill="1" applyBorder="1" applyAlignment="1">
      <alignment horizontal="justify" vertical="center"/>
    </xf>
    <xf numFmtId="0" fontId="12" fillId="6" borderId="32" xfId="0" applyFont="1" applyFill="1" applyBorder="1" applyAlignment="1">
      <alignment horizontal="center" vertical="top"/>
    </xf>
    <xf numFmtId="0" fontId="36" fillId="6" borderId="12" xfId="0" applyFont="1" applyFill="1" applyBorder="1" applyAlignment="1">
      <alignment horizontal="justify" wrapText="1"/>
    </xf>
    <xf numFmtId="10" fontId="36" fillId="6" borderId="12" xfId="0" applyNumberFormat="1" applyFont="1" applyFill="1" applyBorder="1" applyAlignment="1">
      <alignment horizontal="right"/>
    </xf>
    <xf numFmtId="1" fontId="36" fillId="7" borderId="33" xfId="0" applyNumberFormat="1" applyFont="1" applyFill="1" applyBorder="1" applyAlignment="1" applyProtection="1">
      <alignment horizontal="center"/>
      <protection locked="0"/>
    </xf>
    <xf numFmtId="1" fontId="36" fillId="6" borderId="12" xfId="0" applyNumberFormat="1" applyFont="1" applyFill="1" applyBorder="1" applyAlignment="1">
      <alignment horizontal="center"/>
    </xf>
    <xf numFmtId="10" fontId="36" fillId="6" borderId="34" xfId="0" applyNumberFormat="1" applyFont="1" applyFill="1" applyBorder="1" applyAlignment="1" applyProtection="1">
      <alignment horizontal="center"/>
      <protection locked="0"/>
    </xf>
    <xf numFmtId="169" fontId="36" fillId="6" borderId="35" xfId="0" applyNumberFormat="1" applyFont="1" applyFill="1" applyBorder="1" applyAlignment="1">
      <alignment horizontal="center" vertical="center"/>
    </xf>
    <xf numFmtId="169" fontId="36" fillId="6" borderId="12" xfId="0" applyNumberFormat="1" applyFont="1" applyFill="1" applyBorder="1" applyAlignment="1">
      <alignment horizontal="center" vertical="center"/>
    </xf>
    <xf numFmtId="169" fontId="36" fillId="6" borderId="34" xfId="0" applyNumberFormat="1" applyFont="1" applyFill="1" applyBorder="1" applyAlignment="1">
      <alignment horizontal="center" vertical="center"/>
    </xf>
    <xf numFmtId="169" fontId="36" fillId="6" borderId="36" xfId="0" applyNumberFormat="1" applyFont="1" applyFill="1" applyBorder="1" applyAlignment="1">
      <alignment horizontal="center" vertical="center"/>
    </xf>
    <xf numFmtId="169" fontId="36" fillId="6" borderId="33" xfId="0" applyNumberFormat="1" applyFont="1" applyFill="1" applyBorder="1" applyAlignment="1">
      <alignment horizontal="center" vertical="center"/>
    </xf>
    <xf numFmtId="169" fontId="36" fillId="6" borderId="37" xfId="0" applyNumberFormat="1" applyFont="1" applyFill="1" applyBorder="1" applyAlignment="1">
      <alignment horizontal="center" vertical="center"/>
    </xf>
    <xf numFmtId="0" fontId="5" fillId="6" borderId="38" xfId="0" applyFont="1" applyFill="1" applyBorder="1" applyAlignment="1" applyProtection="1">
      <alignment horizontal="center" vertical="top"/>
      <protection locked="0"/>
    </xf>
    <xf numFmtId="170" fontId="5" fillId="7" borderId="11" xfId="0" applyNumberFormat="1" applyFont="1" applyFill="1" applyBorder="1" applyAlignment="1" applyProtection="1">
      <alignment horizontal="justify" wrapText="1"/>
      <protection locked="0"/>
    </xf>
    <xf numFmtId="10" fontId="12" fillId="6" borderId="11" xfId="3" applyNumberFormat="1" applyFont="1" applyFill="1" applyBorder="1" applyAlignment="1" applyProtection="1">
      <alignment horizontal="center"/>
    </xf>
    <xf numFmtId="171" fontId="12" fillId="6" borderId="11" xfId="0" applyNumberFormat="1" applyFont="1" applyFill="1" applyBorder="1" applyAlignment="1">
      <alignment horizontal="center"/>
    </xf>
    <xf numFmtId="10" fontId="12" fillId="7" borderId="11" xfId="0" applyNumberFormat="1" applyFont="1" applyFill="1" applyBorder="1" applyAlignment="1" applyProtection="1">
      <alignment horizontal="center"/>
      <protection locked="0"/>
    </xf>
    <xf numFmtId="0" fontId="5" fillId="6" borderId="40" xfId="0" applyFont="1" applyFill="1" applyBorder="1" applyAlignment="1" applyProtection="1">
      <alignment horizontal="center" vertical="top"/>
      <protection locked="0"/>
    </xf>
    <xf numFmtId="170" fontId="5" fillId="7" borderId="1" xfId="0" applyNumberFormat="1" applyFont="1" applyFill="1" applyBorder="1" applyAlignment="1" applyProtection="1">
      <alignment horizontal="justify" wrapText="1"/>
      <protection locked="0"/>
    </xf>
    <xf numFmtId="10" fontId="12" fillId="7" borderId="1" xfId="0" applyNumberFormat="1" applyFont="1" applyFill="1" applyBorder="1" applyAlignment="1" applyProtection="1">
      <alignment horizontal="center"/>
      <protection locked="0"/>
    </xf>
    <xf numFmtId="170" fontId="12" fillId="7" borderId="1" xfId="0" applyNumberFormat="1" applyFont="1" applyFill="1" applyBorder="1" applyAlignment="1" applyProtection="1">
      <alignment horizontal="justify" wrapText="1"/>
      <protection locked="0"/>
    </xf>
    <xf numFmtId="49" fontId="12" fillId="6" borderId="40" xfId="0" applyNumberFormat="1" applyFont="1" applyFill="1" applyBorder="1" applyAlignment="1">
      <alignment horizontal="left" vertical="center"/>
    </xf>
    <xf numFmtId="0" fontId="12" fillId="6" borderId="1" xfId="0" applyFont="1" applyFill="1" applyBorder="1" applyAlignment="1">
      <alignment horizontal="center" vertical="center"/>
    </xf>
    <xf numFmtId="10" fontId="12" fillId="6" borderId="1" xfId="0" applyNumberFormat="1" applyFont="1" applyFill="1" applyBorder="1" applyAlignment="1">
      <alignment horizontal="center"/>
    </xf>
    <xf numFmtId="49" fontId="36" fillId="6" borderId="40" xfId="0" applyNumberFormat="1" applyFont="1" applyFill="1" applyBorder="1" applyAlignment="1">
      <alignment horizontal="left" vertical="top"/>
    </xf>
    <xf numFmtId="10" fontId="37" fillId="6" borderId="1" xfId="0" applyNumberFormat="1" applyFont="1" applyFill="1" applyBorder="1" applyAlignment="1">
      <alignment horizontal="center"/>
    </xf>
    <xf numFmtId="171" fontId="12" fillId="6" borderId="41" xfId="0" applyNumberFormat="1" applyFont="1" applyFill="1" applyBorder="1" applyAlignment="1">
      <alignment horizontal="center"/>
    </xf>
    <xf numFmtId="49" fontId="36" fillId="6" borderId="42" xfId="0" applyNumberFormat="1" applyFont="1" applyFill="1" applyBorder="1" applyAlignment="1">
      <alignment horizontal="left" vertical="top"/>
    </xf>
    <xf numFmtId="0" fontId="12" fillId="6" borderId="43" xfId="0" applyFont="1" applyFill="1" applyBorder="1" applyAlignment="1">
      <alignment horizontal="center" vertical="center"/>
    </xf>
    <xf numFmtId="10" fontId="37" fillId="6" borderId="43" xfId="0" applyNumberFormat="1" applyFont="1" applyFill="1" applyBorder="1" applyAlignment="1">
      <alignment horizontal="center"/>
    </xf>
    <xf numFmtId="171" fontId="37" fillId="6" borderId="43" xfId="0" applyNumberFormat="1" applyFont="1" applyFill="1" applyBorder="1" applyAlignment="1">
      <alignment horizontal="center"/>
    </xf>
    <xf numFmtId="10" fontId="37" fillId="6" borderId="44" xfId="0" applyNumberFormat="1" applyFont="1" applyFill="1" applyBorder="1" applyAlignment="1">
      <alignment horizontal="center"/>
    </xf>
    <xf numFmtId="171" fontId="12" fillId="6" borderId="45" xfId="0" applyNumberFormat="1" applyFont="1" applyFill="1" applyBorder="1" applyAlignment="1">
      <alignment horizontal="center"/>
    </xf>
    <xf numFmtId="0" fontId="34" fillId="0" borderId="0" xfId="0" applyFont="1" applyBorder="1" applyAlignment="1" applyProtection="1">
      <protection locked="0"/>
    </xf>
    <xf numFmtId="0" fontId="38" fillId="3" borderId="8" xfId="0" applyFont="1" applyFill="1" applyBorder="1" applyAlignment="1">
      <alignment horizontal="center" vertical="center" wrapText="1"/>
    </xf>
    <xf numFmtId="0" fontId="38" fillId="3" borderId="1" xfId="0" applyFont="1" applyFill="1" applyBorder="1" applyAlignment="1">
      <alignment horizontal="center" vertical="center" wrapText="1"/>
    </xf>
    <xf numFmtId="0" fontId="38" fillId="3" borderId="38" xfId="0" applyFont="1" applyFill="1" applyBorder="1" applyAlignment="1">
      <alignment horizontal="center" vertical="center" wrapText="1"/>
    </xf>
    <xf numFmtId="0" fontId="38" fillId="3" borderId="46" xfId="0" applyFont="1" applyFill="1" applyBorder="1" applyAlignment="1">
      <alignment horizontal="center" vertical="center" wrapText="1"/>
    </xf>
    <xf numFmtId="166" fontId="32" fillId="4" borderId="3" xfId="2" applyNumberFormat="1" applyFont="1" applyFill="1" applyBorder="1" applyAlignment="1" applyProtection="1">
      <alignment horizontal="center" vertical="center"/>
    </xf>
    <xf numFmtId="0" fontId="0" fillId="0" borderId="3" xfId="0" applyBorder="1"/>
    <xf numFmtId="0" fontId="0" fillId="0" borderId="5" xfId="0" applyBorder="1"/>
    <xf numFmtId="164" fontId="0" fillId="0" borderId="3" xfId="2" applyNumberFormat="1" applyFont="1" applyBorder="1" applyAlignment="1" applyProtection="1">
      <alignment vertical="center"/>
    </xf>
    <xf numFmtId="10" fontId="5" fillId="0" borderId="9" xfId="2" applyNumberFormat="1" applyFont="1" applyBorder="1" applyAlignment="1" applyProtection="1"/>
    <xf numFmtId="165" fontId="5" fillId="0" borderId="5" xfId="2" applyFont="1" applyBorder="1" applyAlignment="1" applyProtection="1"/>
    <xf numFmtId="165" fontId="15" fillId="0" borderId="48" xfId="2" applyFont="1" applyBorder="1" applyAlignment="1" applyProtection="1"/>
    <xf numFmtId="0" fontId="21" fillId="0" borderId="3" xfId="0" applyFont="1" applyBorder="1" applyAlignment="1">
      <alignment horizontal="center" vertical="center"/>
    </xf>
    <xf numFmtId="172" fontId="38" fillId="0" borderId="3" xfId="0" applyNumberFormat="1" applyFont="1" applyBorder="1" applyAlignment="1">
      <alignment horizontal="center" vertical="center"/>
    </xf>
    <xf numFmtId="10" fontId="15" fillId="0" borderId="3" xfId="0" applyNumberFormat="1" applyFont="1" applyBorder="1" applyAlignment="1">
      <alignment vertical="center"/>
    </xf>
    <xf numFmtId="0" fontId="21" fillId="0" borderId="3" xfId="0" applyFont="1" applyBorder="1" applyAlignment="1">
      <alignment vertical="center"/>
    </xf>
    <xf numFmtId="10" fontId="21" fillId="0" borderId="3" xfId="0" applyNumberFormat="1" applyFont="1" applyBorder="1" applyAlignment="1">
      <alignment vertical="center"/>
    </xf>
    <xf numFmtId="0" fontId="15" fillId="3" borderId="52" xfId="0" applyFont="1" applyFill="1" applyBorder="1"/>
    <xf numFmtId="0" fontId="15" fillId="3" borderId="56" xfId="0" applyFont="1" applyFill="1" applyBorder="1"/>
    <xf numFmtId="0" fontId="15" fillId="3" borderId="2" xfId="0" applyFont="1" applyFill="1" applyBorder="1"/>
    <xf numFmtId="165" fontId="8" fillId="4" borderId="5" xfId="2" applyFont="1" applyFill="1" applyBorder="1" applyAlignment="1" applyProtection="1"/>
    <xf numFmtId="0" fontId="0" fillId="0" borderId="52" xfId="0" applyFont="1" applyBorder="1"/>
    <xf numFmtId="0" fontId="0" fillId="0" borderId="48" xfId="0" applyFont="1" applyBorder="1"/>
    <xf numFmtId="0" fontId="0" fillId="0" borderId="52" xfId="0" applyBorder="1"/>
    <xf numFmtId="165" fontId="0" fillId="0" borderId="5" xfId="2" applyFont="1" applyBorder="1" applyAlignment="1" applyProtection="1">
      <alignment horizontal="center" vertical="center"/>
    </xf>
    <xf numFmtId="10" fontId="39" fillId="0" borderId="52" xfId="3" applyNumberFormat="1" applyFont="1" applyBorder="1" applyAlignment="1" applyProtection="1"/>
    <xf numFmtId="165" fontId="39" fillId="0" borderId="48" xfId="2" applyFont="1" applyBorder="1" applyAlignment="1" applyProtection="1"/>
    <xf numFmtId="10" fontId="5" fillId="0" borderId="2" xfId="2" applyNumberFormat="1" applyFont="1" applyBorder="1" applyAlignment="1" applyProtection="1"/>
    <xf numFmtId="165" fontId="5" fillId="0" borderId="57" xfId="2" applyFont="1" applyBorder="1" applyAlignment="1" applyProtection="1"/>
    <xf numFmtId="165" fontId="8" fillId="4" borderId="5" xfId="2" applyFont="1" applyFill="1" applyBorder="1" applyAlignment="1" applyProtection="1">
      <alignment horizontal="center" vertical="center"/>
    </xf>
    <xf numFmtId="0" fontId="40" fillId="0" borderId="58" xfId="0" applyFont="1" applyBorder="1"/>
    <xf numFmtId="0" fontId="40" fillId="0" borderId="59" xfId="0" applyFont="1" applyBorder="1"/>
    <xf numFmtId="10" fontId="41" fillId="5" borderId="53" xfId="3" applyNumberFormat="1" applyFont="1" applyFill="1" applyBorder="1" applyAlignment="1" applyProtection="1"/>
    <xf numFmtId="165" fontId="41" fillId="5" borderId="60" xfId="0" applyNumberFormat="1" applyFont="1" applyFill="1" applyBorder="1"/>
    <xf numFmtId="10" fontId="8" fillId="5" borderId="47" xfId="3" applyNumberFormat="1" applyFont="1" applyFill="1" applyBorder="1" applyAlignment="1" applyProtection="1"/>
    <xf numFmtId="0" fontId="15" fillId="5" borderId="50" xfId="0" applyFont="1" applyFill="1" applyBorder="1" applyAlignment="1">
      <alignment vertical="center"/>
    </xf>
    <xf numFmtId="0" fontId="21" fillId="5" borderId="3" xfId="0" applyFont="1" applyFill="1" applyBorder="1" applyAlignment="1">
      <alignment horizontal="center" vertical="center"/>
    </xf>
    <xf numFmtId="0" fontId="26" fillId="5" borderId="52" xfId="0" applyFont="1" applyFill="1" applyBorder="1" applyAlignment="1">
      <alignment horizontal="center" vertical="center" wrapText="1"/>
    </xf>
    <xf numFmtId="172" fontId="38" fillId="5" borderId="3" xfId="0" applyNumberFormat="1" applyFont="1" applyFill="1" applyBorder="1" applyAlignment="1">
      <alignment horizontal="center" vertical="center"/>
    </xf>
    <xf numFmtId="10" fontId="15" fillId="5" borderId="3" xfId="0" applyNumberFormat="1" applyFont="1" applyFill="1" applyBorder="1" applyAlignment="1">
      <alignment vertical="center"/>
    </xf>
    <xf numFmtId="173" fontId="15" fillId="5" borderId="5" xfId="2" applyNumberFormat="1" applyFont="1" applyFill="1" applyBorder="1" applyAlignment="1" applyProtection="1">
      <alignment horizontal="center" vertical="center"/>
    </xf>
    <xf numFmtId="173" fontId="15" fillId="5" borderId="56" xfId="2" applyNumberFormat="1" applyFont="1" applyFill="1" applyBorder="1" applyAlignment="1" applyProtection="1">
      <alignment horizontal="center" vertical="center"/>
    </xf>
    <xf numFmtId="0" fontId="21" fillId="5" borderId="5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vertical="center"/>
    </xf>
    <xf numFmtId="10" fontId="21" fillId="5" borderId="3" xfId="0" applyNumberFormat="1" applyFont="1" applyFill="1" applyBorder="1" applyAlignment="1">
      <alignment vertical="center"/>
    </xf>
    <xf numFmtId="0" fontId="21" fillId="5" borderId="53" xfId="0" applyFont="1" applyFill="1" applyBorder="1" applyAlignment="1">
      <alignment horizontal="right" vertical="center" wrapText="1"/>
    </xf>
    <xf numFmtId="0" fontId="21" fillId="5" borderId="54" xfId="0" applyFont="1" applyFill="1" applyBorder="1" applyAlignment="1">
      <alignment vertical="center"/>
    </xf>
    <xf numFmtId="10" fontId="21" fillId="5" borderId="54" xfId="0" applyNumberFormat="1" applyFont="1" applyFill="1" applyBorder="1" applyAlignment="1">
      <alignment vertical="center"/>
    </xf>
    <xf numFmtId="0" fontId="21" fillId="0" borderId="0" xfId="0" applyFont="1"/>
    <xf numFmtId="0" fontId="21" fillId="0" borderId="0" xfId="0" applyFont="1" applyAlignment="1">
      <alignment horizontal="center"/>
    </xf>
    <xf numFmtId="2" fontId="21" fillId="0" borderId="0" xfId="0" applyNumberFormat="1" applyFont="1" applyAlignment="1">
      <alignment horizontal="center"/>
    </xf>
    <xf numFmtId="0" fontId="38" fillId="0" borderId="0" xfId="0" applyFont="1"/>
    <xf numFmtId="0" fontId="42" fillId="0" borderId="0" xfId="0" applyFont="1"/>
    <xf numFmtId="0" fontId="38" fillId="0" borderId="1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38" xfId="0" applyFont="1" applyBorder="1" applyAlignment="1">
      <alignment horizontal="center" vertical="center" wrapText="1"/>
    </xf>
    <xf numFmtId="0" fontId="38" fillId="0" borderId="46" xfId="0" applyFont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0" fontId="15" fillId="8" borderId="2" xfId="0" applyFont="1" applyFill="1" applyBorder="1"/>
    <xf numFmtId="0" fontId="15" fillId="8" borderId="9" xfId="0" applyFont="1" applyFill="1" applyBorder="1"/>
    <xf numFmtId="0" fontId="15" fillId="8" borderId="52" xfId="0" applyFont="1" applyFill="1" applyBorder="1"/>
    <xf numFmtId="0" fontId="15" fillId="8" borderId="56" xfId="0" applyFont="1" applyFill="1" applyBorder="1"/>
    <xf numFmtId="0" fontId="15" fillId="0" borderId="0" xfId="0" applyFont="1"/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174" fontId="11" fillId="0" borderId="1" xfId="0" applyNumberFormat="1" applyFont="1" applyBorder="1" applyAlignment="1">
      <alignment horizontal="center" vertical="distributed" wrapText="1"/>
    </xf>
    <xf numFmtId="10" fontId="15" fillId="0" borderId="47" xfId="3" applyNumberFormat="1" applyFont="1" applyBorder="1" applyAlignment="1" applyProtection="1"/>
    <xf numFmtId="0" fontId="5" fillId="0" borderId="3" xfId="0" applyFont="1" applyBorder="1"/>
    <xf numFmtId="0" fontId="5" fillId="8" borderId="3" xfId="0" applyFont="1" applyFill="1" applyBorder="1"/>
    <xf numFmtId="0" fontId="38" fillId="8" borderId="2" xfId="0" applyFont="1" applyFill="1" applyBorder="1" applyAlignment="1">
      <alignment horizontal="center" vertical="center"/>
    </xf>
    <xf numFmtId="0" fontId="38" fillId="8" borderId="3" xfId="0" applyFont="1" applyFill="1" applyBorder="1" applyAlignment="1">
      <alignment horizontal="justify" vertical="center" wrapText="1"/>
    </xf>
    <xf numFmtId="2" fontId="5" fillId="8" borderId="3" xfId="0" applyNumberFormat="1" applyFont="1" applyFill="1" applyBorder="1" applyAlignment="1">
      <alignment horizontal="right" vertical="center"/>
    </xf>
    <xf numFmtId="4" fontId="5" fillId="8" borderId="3" xfId="0" applyNumberFormat="1" applyFont="1" applyFill="1" applyBorder="1" applyAlignment="1">
      <alignment horizontal="right" vertical="center"/>
    </xf>
    <xf numFmtId="165" fontId="38" fillId="8" borderId="5" xfId="0" applyNumberFormat="1" applyFont="1" applyFill="1" applyBorder="1"/>
    <xf numFmtId="165" fontId="15" fillId="8" borderId="58" xfId="0" applyNumberFormat="1" applyFont="1" applyFill="1" applyBorder="1"/>
    <xf numFmtId="165" fontId="15" fillId="8" borderId="59" xfId="0" applyNumberFormat="1" applyFont="1" applyFill="1" applyBorder="1"/>
    <xf numFmtId="165" fontId="38" fillId="8" borderId="0" xfId="0" applyNumberFormat="1" applyFont="1" applyFill="1" applyBorder="1"/>
    <xf numFmtId="0" fontId="5" fillId="0" borderId="2" xfId="0" applyFont="1" applyBorder="1"/>
    <xf numFmtId="164" fontId="0" fillId="0" borderId="3" xfId="1" applyFont="1" applyBorder="1" applyAlignment="1" applyProtection="1"/>
    <xf numFmtId="165" fontId="5" fillId="0" borderId="9" xfId="2" applyFont="1" applyBorder="1" applyAlignment="1" applyProtection="1"/>
    <xf numFmtId="0" fontId="4" fillId="8" borderId="2" xfId="0" applyFont="1" applyFill="1" applyBorder="1" applyAlignment="1">
      <alignment horizontal="center"/>
    </xf>
    <xf numFmtId="0" fontId="4" fillId="8" borderId="3" xfId="0" applyFont="1" applyFill="1" applyBorder="1"/>
    <xf numFmtId="165" fontId="4" fillId="8" borderId="3" xfId="2" applyFont="1" applyFill="1" applyBorder="1" applyAlignment="1" applyProtection="1"/>
    <xf numFmtId="0" fontId="0" fillId="0" borderId="3" xfId="0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justify" vertical="center" wrapText="1"/>
    </xf>
    <xf numFmtId="2" fontId="5" fillId="0" borderId="61" xfId="0" applyNumberFormat="1" applyFont="1" applyBorder="1" applyAlignment="1">
      <alignment horizontal="right" vertical="center"/>
    </xf>
    <xf numFmtId="4" fontId="5" fillId="0" borderId="9" xfId="0" applyNumberFormat="1" applyFont="1" applyBorder="1" applyAlignment="1">
      <alignment horizontal="right" vertical="center"/>
    </xf>
    <xf numFmtId="0" fontId="15" fillId="0" borderId="58" xfId="0" applyFont="1" applyBorder="1"/>
    <xf numFmtId="0" fontId="15" fillId="0" borderId="59" xfId="0" applyFont="1" applyBorder="1"/>
    <xf numFmtId="0" fontId="15" fillId="9" borderId="9" xfId="0" applyFont="1" applyFill="1" applyBorder="1"/>
    <xf numFmtId="4" fontId="38" fillId="9" borderId="5" xfId="0" applyNumberFormat="1" applyFont="1" applyFill="1" applyBorder="1" applyAlignment="1">
      <alignment horizontal="right" vertical="center"/>
    </xf>
    <xf numFmtId="165" fontId="38" fillId="9" borderId="9" xfId="2" applyFont="1" applyFill="1" applyBorder="1" applyAlignment="1" applyProtection="1"/>
    <xf numFmtId="10" fontId="15" fillId="9" borderId="53" xfId="3" applyNumberFormat="1" applyFont="1" applyFill="1" applyBorder="1" applyAlignment="1" applyProtection="1"/>
    <xf numFmtId="165" fontId="15" fillId="9" borderId="55" xfId="2" applyFont="1" applyFill="1" applyBorder="1" applyAlignment="1" applyProtection="1"/>
    <xf numFmtId="10" fontId="38" fillId="9" borderId="2" xfId="3" applyNumberFormat="1" applyFont="1" applyFill="1" applyBorder="1" applyAlignment="1" applyProtection="1"/>
    <xf numFmtId="165" fontId="38" fillId="9" borderId="5" xfId="2" applyFont="1" applyFill="1" applyBorder="1" applyAlignment="1" applyProtection="1"/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15" fillId="0" borderId="63" xfId="0" applyFont="1" applyBorder="1" applyAlignment="1">
      <alignment vertical="center"/>
    </xf>
    <xf numFmtId="0" fontId="2" fillId="0" borderId="6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21" fillId="0" borderId="57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26" fillId="0" borderId="25" xfId="0" applyFont="1" applyBorder="1" applyAlignment="1">
      <alignment horizontal="center" vertical="center" wrapText="1"/>
    </xf>
    <xf numFmtId="173" fontId="15" fillId="0" borderId="57" xfId="2" applyNumberFormat="1" applyFont="1" applyBorder="1" applyAlignment="1" applyProtection="1">
      <alignment vertical="center"/>
    </xf>
    <xf numFmtId="173" fontId="36" fillId="0" borderId="0" xfId="2" applyNumberFormat="1" applyFont="1" applyBorder="1" applyAlignment="1" applyProtection="1">
      <alignment vertical="center"/>
    </xf>
    <xf numFmtId="0" fontId="21" fillId="0" borderId="25" xfId="0" applyFont="1" applyBorder="1" applyAlignment="1">
      <alignment horizontal="right" vertical="center" wrapText="1"/>
    </xf>
    <xf numFmtId="173" fontId="21" fillId="0" borderId="57" xfId="0" applyNumberFormat="1" applyFont="1" applyBorder="1" applyAlignment="1">
      <alignment vertical="center"/>
    </xf>
    <xf numFmtId="173" fontId="12" fillId="0" borderId="0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21" fillId="0" borderId="65" xfId="0" applyFont="1" applyBorder="1" applyAlignment="1">
      <alignment horizontal="right" vertical="center" wrapText="1"/>
    </xf>
    <xf numFmtId="0" fontId="21" fillId="0" borderId="66" xfId="0" applyFont="1" applyBorder="1" applyAlignment="1">
      <alignment vertical="center"/>
    </xf>
    <xf numFmtId="10" fontId="21" fillId="0" borderId="66" xfId="0" applyNumberFormat="1" applyFont="1" applyBorder="1" applyAlignment="1">
      <alignment vertical="center"/>
    </xf>
    <xf numFmtId="173" fontId="21" fillId="0" borderId="67" xfId="0" applyNumberFormat="1" applyFont="1" applyBorder="1" applyAlignment="1">
      <alignment vertical="center"/>
    </xf>
    <xf numFmtId="0" fontId="0" fillId="0" borderId="0" xfId="0" applyAlignment="1">
      <alignment vertical="center" wrapText="1"/>
    </xf>
    <xf numFmtId="10" fontId="0" fillId="0" borderId="68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165" fontId="12" fillId="0" borderId="0" xfId="0" applyNumberFormat="1" applyFont="1" applyAlignment="1">
      <alignment vertical="center"/>
    </xf>
    <xf numFmtId="0" fontId="4" fillId="0" borderId="69" xfId="0" applyFont="1" applyBorder="1" applyAlignment="1">
      <alignment horizontal="center" vertical="center"/>
    </xf>
    <xf numFmtId="0" fontId="4" fillId="0" borderId="70" xfId="0" applyFont="1" applyBorder="1"/>
    <xf numFmtId="164" fontId="0" fillId="0" borderId="70" xfId="1" applyFont="1" applyBorder="1" applyAlignment="1" applyProtection="1"/>
    <xf numFmtId="0" fontId="0" fillId="0" borderId="70" xfId="0" applyBorder="1"/>
    <xf numFmtId="0" fontId="0" fillId="0" borderId="69" xfId="0" applyFont="1" applyBorder="1" applyAlignment="1">
      <alignment horizontal="center" vertical="center"/>
    </xf>
    <xf numFmtId="0" fontId="0" fillId="0" borderId="70" xfId="0" applyFont="1" applyBorder="1" applyAlignment="1">
      <alignment vertical="center" wrapText="1"/>
    </xf>
    <xf numFmtId="0" fontId="10" fillId="0" borderId="0" xfId="0" applyFont="1"/>
    <xf numFmtId="0" fontId="4" fillId="0" borderId="69" xfId="0" applyFont="1" applyBorder="1" applyAlignment="1">
      <alignment horizontal="center"/>
    </xf>
    <xf numFmtId="0" fontId="0" fillId="0" borderId="70" xfId="0" applyFont="1" applyBorder="1" applyAlignment="1">
      <alignment wrapText="1"/>
    </xf>
    <xf numFmtId="0" fontId="0" fillId="0" borderId="70" xfId="0" applyFont="1" applyBorder="1" applyAlignment="1">
      <alignment horizontal="center" vertical="center"/>
    </xf>
    <xf numFmtId="0" fontId="45" fillId="0" borderId="40" xfId="5" applyFont="1" applyFill="1" applyBorder="1" applyAlignment="1">
      <alignment horizontal="center" vertical="center"/>
    </xf>
    <xf numFmtId="49" fontId="46" fillId="0" borderId="1" xfId="5" applyNumberFormat="1" applyFont="1" applyFill="1" applyBorder="1" applyAlignment="1">
      <alignment horizontal="center" vertical="center"/>
    </xf>
    <xf numFmtId="0" fontId="46" fillId="0" borderId="1" xfId="5" applyFont="1" applyFill="1" applyBorder="1" applyAlignment="1">
      <alignment wrapText="1"/>
    </xf>
    <xf numFmtId="43" fontId="45" fillId="0" borderId="1" xfId="6" applyFont="1" applyFill="1" applyBorder="1" applyAlignment="1">
      <alignment horizontal="left" wrapText="1"/>
    </xf>
    <xf numFmtId="49" fontId="23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3" xfId="2" applyNumberFormat="1" applyFont="1" applyFill="1" applyBorder="1" applyAlignment="1" applyProtection="1">
      <alignment vertical="center"/>
    </xf>
    <xf numFmtId="49" fontId="45" fillId="0" borderId="1" xfId="5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7" fillId="0" borderId="3" xfId="0" applyNumberFormat="1" applyFont="1" applyFill="1" applyBorder="1" applyAlignment="1" applyProtection="1">
      <alignment horizontal="center" vertical="center"/>
      <protection locked="0"/>
    </xf>
    <xf numFmtId="164" fontId="28" fillId="0" borderId="3" xfId="2" applyNumberFormat="1" applyFont="1" applyFill="1" applyBorder="1" applyAlignment="1" applyProtection="1">
      <alignment vertical="center"/>
    </xf>
    <xf numFmtId="165" fontId="43" fillId="0" borderId="1" xfId="2" applyBorder="1"/>
    <xf numFmtId="165" fontId="43" fillId="0" borderId="41" xfId="2" applyBorder="1"/>
    <xf numFmtId="0" fontId="48" fillId="0" borderId="0" xfId="0" applyFont="1" applyAlignment="1">
      <alignment horizontal="right"/>
    </xf>
    <xf numFmtId="43" fontId="49" fillId="0" borderId="1" xfId="6" applyFont="1" applyFill="1" applyBorder="1" applyAlignment="1">
      <alignment horizontal="center" wrapText="1"/>
    </xf>
    <xf numFmtId="0" fontId="51" fillId="0" borderId="1" xfId="5" applyFont="1" applyFill="1" applyBorder="1" applyAlignment="1">
      <alignment wrapText="1"/>
    </xf>
    <xf numFmtId="43" fontId="51" fillId="0" borderId="1" xfId="6" applyFont="1" applyFill="1" applyBorder="1" applyAlignment="1">
      <alignment horizontal="left" wrapText="1"/>
    </xf>
    <xf numFmtId="10" fontId="4" fillId="0" borderId="2" xfId="3" applyNumberFormat="1" applyFont="1" applyBorder="1" applyAlignment="1" applyProtection="1">
      <alignment horizontal="left" vertical="center"/>
    </xf>
    <xf numFmtId="0" fontId="27" fillId="0" borderId="0" xfId="0" applyFont="1" applyBorder="1" applyAlignment="1">
      <alignment horizontal="center" vertical="center"/>
    </xf>
    <xf numFmtId="43" fontId="51" fillId="0" borderId="1" xfId="6" applyFont="1" applyFill="1" applyBorder="1" applyAlignment="1">
      <alignment horizontal="left" vertical="center" wrapText="1"/>
    </xf>
    <xf numFmtId="43" fontId="49" fillId="0" borderId="1" xfId="6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 applyProtection="1">
      <alignment horizontal="center" wrapText="1"/>
    </xf>
    <xf numFmtId="165" fontId="43" fillId="0" borderId="39" xfId="2" applyBorder="1" applyProtection="1"/>
    <xf numFmtId="10" fontId="0" fillId="0" borderId="8" xfId="0" applyNumberFormat="1" applyBorder="1" applyAlignment="1">
      <alignment horizontal="left"/>
    </xf>
    <xf numFmtId="165" fontId="43" fillId="0" borderId="0" xfId="2" applyBorder="1"/>
    <xf numFmtId="0" fontId="8" fillId="3" borderId="3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 applyProtection="1">
      <protection locked="0"/>
    </xf>
    <xf numFmtId="165" fontId="47" fillId="0" borderId="74" xfId="2" applyFont="1" applyBorder="1"/>
    <xf numFmtId="0" fontId="45" fillId="0" borderId="3" xfId="5" applyFont="1" applyFill="1" applyBorder="1" applyAlignment="1">
      <alignment horizontal="center" vertical="center"/>
    </xf>
    <xf numFmtId="49" fontId="46" fillId="0" borderId="3" xfId="5" applyNumberFormat="1" applyFont="1" applyFill="1" applyBorder="1" applyAlignment="1">
      <alignment horizontal="center" vertical="center"/>
    </xf>
    <xf numFmtId="4" fontId="45" fillId="0" borderId="3" xfId="5" applyNumberFormat="1" applyFont="1" applyFill="1" applyBorder="1" applyAlignment="1">
      <alignment horizontal="right" vertical="center"/>
    </xf>
    <xf numFmtId="43" fontId="45" fillId="0" borderId="3" xfId="6" applyFont="1" applyFill="1" applyBorder="1" applyAlignment="1">
      <alignment horizontal="left" vertical="center" wrapText="1"/>
    </xf>
    <xf numFmtId="0" fontId="46" fillId="0" borderId="3" xfId="5" applyFont="1" applyFill="1" applyBorder="1" applyAlignment="1">
      <alignment horizontal="center" vertical="center"/>
    </xf>
    <xf numFmtId="0" fontId="52" fillId="0" borderId="3" xfId="5" applyFont="1" applyFill="1" applyBorder="1" applyAlignment="1">
      <alignment horizontal="left" vertical="center" wrapText="1"/>
    </xf>
    <xf numFmtId="4" fontId="45" fillId="0" borderId="3" xfId="5" applyNumberFormat="1" applyFont="1" applyFill="1" applyBorder="1" applyAlignment="1">
      <alignment horizontal="center" vertical="center"/>
    </xf>
    <xf numFmtId="0" fontId="51" fillId="0" borderId="3" xfId="5" applyFont="1" applyFill="1" applyBorder="1" applyAlignment="1">
      <alignment horizontal="left" wrapText="1"/>
    </xf>
    <xf numFmtId="43" fontId="49" fillId="0" borderId="3" xfId="6" applyFont="1" applyFill="1" applyBorder="1" applyAlignment="1">
      <alignment horizontal="center" vertical="center" wrapText="1"/>
    </xf>
    <xf numFmtId="165" fontId="43" fillId="0" borderId="3" xfId="2" applyBorder="1" applyAlignment="1">
      <alignment horizontal="center" vertical="center"/>
    </xf>
    <xf numFmtId="0" fontId="51" fillId="0" borderId="3" xfId="5" applyFont="1" applyFill="1" applyBorder="1" applyAlignment="1">
      <alignment wrapText="1"/>
    </xf>
    <xf numFmtId="0" fontId="45" fillId="0" borderId="3" xfId="5" applyFont="1" applyFill="1" applyBorder="1" applyAlignment="1">
      <alignment wrapText="1"/>
    </xf>
    <xf numFmtId="0" fontId="51" fillId="0" borderId="3" xfId="5" applyFont="1" applyFill="1" applyBorder="1" applyAlignment="1">
      <alignment horizontal="left" vertical="top" wrapText="1"/>
    </xf>
    <xf numFmtId="43" fontId="49" fillId="0" borderId="3" xfId="6" applyFont="1" applyFill="1" applyBorder="1" applyAlignment="1">
      <alignment horizontal="center" vertical="center"/>
    </xf>
    <xf numFmtId="0" fontId="52" fillId="0" borderId="3" xfId="5" applyFont="1" applyFill="1" applyBorder="1" applyAlignment="1">
      <alignment wrapText="1"/>
    </xf>
    <xf numFmtId="0" fontId="45" fillId="0" borderId="66" xfId="5" applyFont="1" applyFill="1" applyBorder="1" applyAlignment="1">
      <alignment horizontal="center" vertical="center"/>
    </xf>
    <xf numFmtId="4" fontId="45" fillId="0" borderId="66" xfId="5" applyNumberFormat="1" applyFont="1" applyFill="1" applyBorder="1" applyAlignment="1">
      <alignment horizontal="center" vertical="center"/>
    </xf>
    <xf numFmtId="0" fontId="51" fillId="0" borderId="66" xfId="5" applyFont="1" applyFill="1" applyBorder="1" applyAlignment="1">
      <alignment wrapText="1"/>
    </xf>
    <xf numFmtId="43" fontId="49" fillId="0" borderId="66" xfId="6" applyFont="1" applyFill="1" applyBorder="1" applyAlignment="1">
      <alignment horizontal="center" vertical="center" wrapText="1"/>
    </xf>
    <xf numFmtId="165" fontId="43" fillId="0" borderId="66" xfId="2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vertical="top"/>
    </xf>
    <xf numFmtId="0" fontId="51" fillId="0" borderId="3" xfId="5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right" vertical="center" wrapText="1"/>
    </xf>
    <xf numFmtId="0" fontId="15" fillId="0" borderId="9" xfId="0" applyFont="1" applyBorder="1" applyAlignment="1">
      <alignment horizontal="right" vertical="center" wrapText="1"/>
    </xf>
    <xf numFmtId="0" fontId="0" fillId="0" borderId="71" xfId="0" applyBorder="1" applyAlignment="1">
      <alignment horizontal="center"/>
    </xf>
    <xf numFmtId="0" fontId="8" fillId="3" borderId="5" xfId="0" applyFont="1" applyFill="1" applyBorder="1" applyAlignment="1">
      <alignment horizontal="center" vertical="center"/>
    </xf>
    <xf numFmtId="0" fontId="18" fillId="3" borderId="5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8" fillId="10" borderId="2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2" fillId="0" borderId="3" xfId="5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/>
    </xf>
    <xf numFmtId="4" fontId="4" fillId="7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4" fontId="0" fillId="0" borderId="1" xfId="0" applyNumberFormat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0" fontId="0" fillId="0" borderId="1" xfId="0" applyFont="1" applyBorder="1" applyAlignment="1">
      <alignment horizontal="left" wrapText="1"/>
    </xf>
    <xf numFmtId="0" fontId="4" fillId="7" borderId="1" xfId="0" applyFont="1" applyFill="1" applyBorder="1" applyAlignment="1">
      <alignment horizontal="center"/>
    </xf>
    <xf numFmtId="0" fontId="4" fillId="7" borderId="7" xfId="0" applyFont="1" applyFill="1" applyBorder="1" applyAlignment="1">
      <alignment horizontal="center"/>
    </xf>
    <xf numFmtId="0" fontId="25" fillId="7" borderId="1" xfId="0" applyFont="1" applyFill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31" fillId="6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7" borderId="10" xfId="0" applyFont="1" applyFill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34" fillId="7" borderId="24" xfId="0" applyFont="1" applyFill="1" applyBorder="1" applyAlignment="1">
      <alignment horizontal="right" vertical="center"/>
    </xf>
    <xf numFmtId="0" fontId="34" fillId="7" borderId="27" xfId="0" applyFont="1" applyFill="1" applyBorder="1" applyAlignment="1">
      <alignment horizontal="right" vertical="center"/>
    </xf>
    <xf numFmtId="0" fontId="11" fillId="6" borderId="29" xfId="0" applyFont="1" applyFill="1" applyBorder="1" applyAlignment="1" applyProtection="1">
      <alignment horizontal="justify" vertical="center"/>
      <protection locked="0"/>
    </xf>
    <xf numFmtId="0" fontId="34" fillId="0" borderId="30" xfId="0" applyFont="1" applyBorder="1" applyAlignment="1">
      <alignment horizontal="justify" vertical="center"/>
    </xf>
    <xf numFmtId="0" fontId="34" fillId="7" borderId="31" xfId="0" applyFont="1" applyFill="1" applyBorder="1" applyAlignment="1">
      <alignment horizontal="justify" vertical="center"/>
    </xf>
    <xf numFmtId="173" fontId="21" fillId="5" borderId="48" xfId="0" applyNumberFormat="1" applyFont="1" applyFill="1" applyBorder="1" applyAlignment="1">
      <alignment horizontal="center" vertical="center"/>
    </xf>
    <xf numFmtId="173" fontId="21" fillId="5" borderId="55" xfId="0" applyNumberFormat="1" applyFont="1" applyFill="1" applyBorder="1" applyAlignment="1">
      <alignment horizontal="center" vertical="center"/>
    </xf>
    <xf numFmtId="0" fontId="26" fillId="5" borderId="49" xfId="0" applyFont="1" applyFill="1" applyBorder="1" applyAlignment="1">
      <alignment horizontal="left" vertical="center" wrapText="1"/>
    </xf>
    <xf numFmtId="0" fontId="2" fillId="5" borderId="51" xfId="0" applyFont="1" applyFill="1" applyBorder="1" applyAlignment="1">
      <alignment horizontal="center" vertical="center"/>
    </xf>
    <xf numFmtId="0" fontId="21" fillId="5" borderId="48" xfId="0" applyFont="1" applyFill="1" applyBorder="1" applyAlignment="1">
      <alignment horizontal="center" vertical="center"/>
    </xf>
    <xf numFmtId="173" fontId="15" fillId="5" borderId="48" xfId="2" applyNumberFormat="1" applyFont="1" applyFill="1" applyBorder="1" applyAlignment="1" applyProtection="1">
      <alignment horizontal="center" vertical="center"/>
    </xf>
    <xf numFmtId="0" fontId="38" fillId="9" borderId="2" xfId="0" applyFont="1" applyFill="1" applyBorder="1" applyAlignment="1">
      <alignment horizontal="right" vertical="center"/>
    </xf>
    <xf numFmtId="0" fontId="26" fillId="0" borderId="62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center" vertical="center"/>
    </xf>
    <xf numFmtId="165" fontId="0" fillId="0" borderId="39" xfId="2" applyFont="1" applyBorder="1" applyProtection="1"/>
    <xf numFmtId="165" fontId="43" fillId="0" borderId="43" xfId="2" applyBorder="1"/>
    <xf numFmtId="49" fontId="0" fillId="0" borderId="72" xfId="0" applyNumberFormat="1" applyBorder="1" applyAlignment="1">
      <alignment horizontal="left" vertical="top" wrapText="1"/>
    </xf>
    <xf numFmtId="49" fontId="0" fillId="0" borderId="61" xfId="0" applyNumberFormat="1" applyBorder="1" applyAlignment="1">
      <alignment horizontal="left" vertical="top" wrapText="1"/>
    </xf>
    <xf numFmtId="49" fontId="0" fillId="0" borderId="73" xfId="0" applyNumberFormat="1" applyBorder="1" applyAlignment="1">
      <alignment horizontal="left" vertical="top" wrapText="1"/>
    </xf>
    <xf numFmtId="49" fontId="0" fillId="0" borderId="0" xfId="0" applyNumberFormat="1" applyBorder="1" applyAlignment="1">
      <alignment horizontal="left" vertical="top" wrapText="1"/>
    </xf>
  </cellXfs>
  <cellStyles count="7">
    <cellStyle name="Moeda" xfId="2" builtinId="4"/>
    <cellStyle name="Normal" xfId="0" builtinId="0"/>
    <cellStyle name="Normal 2_3_-_PLANILHA_MODELO_e_Boletim_CPOS_157" xfId="5"/>
    <cellStyle name="Porcentagem" xfId="3" builtinId="5"/>
    <cellStyle name="Separador de milhares" xfId="1" builtinId="3"/>
    <cellStyle name="Texto Explicativo" xfId="4" builtinId="53" customBuiltin="1"/>
    <cellStyle name="Vírgula 2" xfId="6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BFBFBF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427680</xdr:colOff>
      <xdr:row>7</xdr:row>
      <xdr:rowOff>122760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7623360" cy="145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424080</xdr:colOff>
      <xdr:row>7</xdr:row>
      <xdr:rowOff>122760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7619760" cy="1456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1001730</xdr:colOff>
      <xdr:row>7</xdr:row>
      <xdr:rowOff>122760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7492680" cy="145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998490</xdr:colOff>
      <xdr:row>7</xdr:row>
      <xdr:rowOff>122760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7489440" cy="1456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211264</xdr:colOff>
      <xdr:row>6</xdr:row>
      <xdr:rowOff>8280</xdr:rowOff>
    </xdr:to>
    <xdr:pic>
      <xdr:nvPicPr>
        <xdr:cNvPr id="4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8341200" cy="11512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360720</xdr:colOff>
      <xdr:row>7</xdr:row>
      <xdr:rowOff>81720</xdr:rowOff>
    </xdr:to>
    <xdr:pic>
      <xdr:nvPicPr>
        <xdr:cNvPr id="5" name="Imagem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7660440" cy="14151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57240</xdr:colOff>
      <xdr:row>0</xdr:row>
      <xdr:rowOff>0</xdr:rowOff>
    </xdr:from>
    <xdr:to>
      <xdr:col>11</xdr:col>
      <xdr:colOff>189390</xdr:colOff>
      <xdr:row>5</xdr:row>
      <xdr:rowOff>122760</xdr:rowOff>
    </xdr:to>
    <xdr:pic>
      <xdr:nvPicPr>
        <xdr:cNvPr id="7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57240" y="0"/>
          <a:ext cx="10516680" cy="1074960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427680</xdr:colOff>
      <xdr:row>7</xdr:row>
      <xdr:rowOff>122760</xdr:rowOff>
    </xdr:to>
    <xdr:pic>
      <xdr:nvPicPr>
        <xdr:cNvPr id="14" name="Imagem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7623360" cy="145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66600</xdr:colOff>
      <xdr:row>0</xdr:row>
      <xdr:rowOff>28440</xdr:rowOff>
    </xdr:from>
    <xdr:to>
      <xdr:col>5</xdr:col>
      <xdr:colOff>490680</xdr:colOff>
      <xdr:row>7</xdr:row>
      <xdr:rowOff>151200</xdr:rowOff>
    </xdr:to>
    <xdr:pic>
      <xdr:nvPicPr>
        <xdr:cNvPr id="15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6600" y="28440"/>
          <a:ext cx="7619760" cy="1456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76320</xdr:rowOff>
    </xdr:from>
    <xdr:to>
      <xdr:col>7</xdr:col>
      <xdr:colOff>613440</xdr:colOff>
      <xdr:row>7</xdr:row>
      <xdr:rowOff>141840</xdr:rowOff>
    </xdr:to>
    <xdr:pic>
      <xdr:nvPicPr>
        <xdr:cNvPr id="16" name="Imagem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266760"/>
          <a:ext cx="8595720" cy="12085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view="pageBreakPreview" topLeftCell="A13" workbookViewId="0">
      <selection activeCell="I15" sqref="I15"/>
    </sheetView>
  </sheetViews>
  <sheetFormatPr defaultRowHeight="15"/>
  <cols>
    <col min="1" max="1" width="5.28515625" customWidth="1"/>
    <col min="2" max="2" width="13.140625" customWidth="1"/>
    <col min="3" max="3" width="9.42578125" customWidth="1"/>
    <col min="4" max="4" width="49.28515625" customWidth="1"/>
    <col min="5" max="5" width="9.5703125" customWidth="1"/>
    <col min="6" max="6" width="5.140625" customWidth="1"/>
    <col min="7" max="7" width="13.7109375" customWidth="1"/>
    <col min="8" max="8" width="14.28515625" customWidth="1"/>
    <col min="9" max="10" width="8.7109375" customWidth="1"/>
    <col min="11" max="11" width="9.140625" customWidth="1"/>
    <col min="12" max="12" width="13.7109375" customWidth="1"/>
    <col min="13" max="13" width="8.7109375" customWidth="1"/>
    <col min="14" max="14" width="13.28515625" customWidth="1"/>
    <col min="15" max="1025" width="8.7109375" customWidth="1"/>
  </cols>
  <sheetData>
    <row r="1" spans="1:8">
      <c r="A1" t="s">
        <v>0</v>
      </c>
    </row>
    <row r="2" spans="1:8" ht="3.75" customHeight="1"/>
    <row r="3" spans="1:8">
      <c r="A3" t="s">
        <v>1</v>
      </c>
    </row>
    <row r="4" spans="1:8" ht="3" customHeight="1"/>
    <row r="5" spans="1:8">
      <c r="A5" t="s">
        <v>2</v>
      </c>
      <c r="G5" s="1" t="s">
        <v>3</v>
      </c>
      <c r="H5" s="1"/>
    </row>
    <row r="7" spans="1:8" ht="15" customHeight="1">
      <c r="A7" s="354" t="s">
        <v>4</v>
      </c>
      <c r="B7" s="355" t="s">
        <v>5</v>
      </c>
      <c r="C7" s="355" t="s">
        <v>6</v>
      </c>
      <c r="D7" s="354" t="s">
        <v>7</v>
      </c>
      <c r="E7" s="354" t="s">
        <v>8</v>
      </c>
      <c r="F7" s="354" t="s">
        <v>9</v>
      </c>
      <c r="G7" s="354" t="s">
        <v>10</v>
      </c>
      <c r="H7" s="354"/>
    </row>
    <row r="8" spans="1:8">
      <c r="A8" s="354"/>
      <c r="B8" s="355"/>
      <c r="C8" s="355"/>
      <c r="D8" s="354"/>
      <c r="E8" s="354"/>
      <c r="F8" s="354"/>
      <c r="G8" s="2" t="s">
        <v>11</v>
      </c>
      <c r="H8" s="2" t="s">
        <v>12</v>
      </c>
    </row>
    <row r="9" spans="1:8">
      <c r="A9" s="2">
        <v>1</v>
      </c>
      <c r="B9" s="2"/>
      <c r="C9" s="2"/>
      <c r="D9" s="4" t="s">
        <v>13</v>
      </c>
      <c r="E9" s="1"/>
      <c r="F9" s="1"/>
      <c r="G9" s="1"/>
      <c r="H9" s="1"/>
    </row>
    <row r="10" spans="1:8" ht="30">
      <c r="A10" s="2" t="s">
        <v>14</v>
      </c>
      <c r="B10" s="3" t="s">
        <v>15</v>
      </c>
      <c r="C10" s="2">
        <v>40695</v>
      </c>
      <c r="D10" s="5" t="s">
        <v>16</v>
      </c>
      <c r="E10" s="6">
        <v>4.5</v>
      </c>
      <c r="F10" s="1" t="s">
        <v>17</v>
      </c>
      <c r="G10" s="7">
        <v>143.38999999999999</v>
      </c>
      <c r="H10" s="7">
        <f t="shared" ref="H10:H24" si="0">G10*E10</f>
        <v>645.25499999999988</v>
      </c>
    </row>
    <row r="11" spans="1:8">
      <c r="A11" s="2">
        <v>2</v>
      </c>
      <c r="B11" s="3"/>
      <c r="C11" s="2"/>
      <c r="D11" s="4" t="s">
        <v>18</v>
      </c>
      <c r="E11" s="6"/>
      <c r="F11" s="1"/>
      <c r="G11" s="7"/>
      <c r="H11" s="7">
        <f t="shared" si="0"/>
        <v>0</v>
      </c>
    </row>
    <row r="12" spans="1:8" ht="45">
      <c r="A12" s="2" t="s">
        <v>19</v>
      </c>
      <c r="B12" s="3" t="s">
        <v>20</v>
      </c>
      <c r="C12" s="2">
        <v>40725</v>
      </c>
      <c r="D12" s="8" t="s">
        <v>21</v>
      </c>
      <c r="E12" s="6">
        <v>2250</v>
      </c>
      <c r="F12" s="1" t="s">
        <v>22</v>
      </c>
      <c r="G12" s="7">
        <v>7.64</v>
      </c>
      <c r="H12" s="7">
        <f t="shared" si="0"/>
        <v>17190</v>
      </c>
    </row>
    <row r="13" spans="1:8" ht="60">
      <c r="A13" s="2" t="s">
        <v>23</v>
      </c>
      <c r="B13" s="3" t="s">
        <v>24</v>
      </c>
      <c r="C13" s="2">
        <v>40725</v>
      </c>
      <c r="D13" s="8" t="s">
        <v>25</v>
      </c>
      <c r="E13" s="6">
        <v>1830</v>
      </c>
      <c r="F13" s="1" t="s">
        <v>22</v>
      </c>
      <c r="G13" s="7">
        <v>9.2899999999999991</v>
      </c>
      <c r="H13" s="7">
        <f t="shared" si="0"/>
        <v>17000.699999999997</v>
      </c>
    </row>
    <row r="14" spans="1:8" ht="30">
      <c r="A14" s="2" t="s">
        <v>26</v>
      </c>
      <c r="B14" s="3" t="s">
        <v>27</v>
      </c>
      <c r="C14" s="2">
        <v>40725</v>
      </c>
      <c r="D14" s="8" t="s">
        <v>28</v>
      </c>
      <c r="E14" s="6">
        <v>650</v>
      </c>
      <c r="F14" s="1" t="s">
        <v>17</v>
      </c>
      <c r="G14" s="7">
        <v>3.93</v>
      </c>
      <c r="H14" s="7">
        <f t="shared" si="0"/>
        <v>2554.5</v>
      </c>
    </row>
    <row r="15" spans="1:8">
      <c r="A15" s="2">
        <v>3</v>
      </c>
      <c r="B15" s="3"/>
      <c r="C15" s="2"/>
      <c r="D15" s="4" t="s">
        <v>29</v>
      </c>
      <c r="E15" s="6"/>
      <c r="F15" s="1"/>
      <c r="G15" s="7"/>
      <c r="H15" s="7">
        <f t="shared" si="0"/>
        <v>0</v>
      </c>
    </row>
    <row r="16" spans="1:8">
      <c r="A16" s="2" t="s">
        <v>30</v>
      </c>
      <c r="B16" s="2" t="s">
        <v>31</v>
      </c>
      <c r="C16" s="2">
        <v>40695</v>
      </c>
      <c r="D16" s="1" t="s">
        <v>32</v>
      </c>
      <c r="E16" s="6">
        <v>200</v>
      </c>
      <c r="F16" s="1" t="s">
        <v>33</v>
      </c>
      <c r="G16" s="7">
        <v>122.39</v>
      </c>
      <c r="H16" s="7">
        <f t="shared" si="0"/>
        <v>24478</v>
      </c>
    </row>
    <row r="17" spans="1:14">
      <c r="A17" s="2" t="s">
        <v>34</v>
      </c>
      <c r="B17" s="2" t="s">
        <v>35</v>
      </c>
      <c r="C17" s="2">
        <v>40695</v>
      </c>
      <c r="D17" s="1" t="s">
        <v>36</v>
      </c>
      <c r="E17" s="6">
        <v>450</v>
      </c>
      <c r="F17" s="1" t="s">
        <v>33</v>
      </c>
      <c r="G17" s="7">
        <v>280.39</v>
      </c>
      <c r="H17" s="7">
        <f t="shared" si="0"/>
        <v>126175.5</v>
      </c>
    </row>
    <row r="18" spans="1:14">
      <c r="A18" s="2" t="s">
        <v>37</v>
      </c>
      <c r="B18" s="2" t="s">
        <v>38</v>
      </c>
      <c r="C18" s="2">
        <v>40695</v>
      </c>
      <c r="D18" s="1" t="s">
        <v>39</v>
      </c>
      <c r="E18" s="6">
        <v>20</v>
      </c>
      <c r="F18" s="1" t="s">
        <v>33</v>
      </c>
      <c r="G18" s="7">
        <v>394.21</v>
      </c>
      <c r="H18" s="7">
        <f t="shared" si="0"/>
        <v>7884.2</v>
      </c>
    </row>
    <row r="19" spans="1:14">
      <c r="A19" s="4">
        <v>4</v>
      </c>
      <c r="B19" s="9"/>
      <c r="C19" s="4"/>
      <c r="D19" s="4" t="s">
        <v>40</v>
      </c>
      <c r="E19" s="6"/>
      <c r="F19" s="1"/>
      <c r="G19" s="7"/>
      <c r="H19" s="7">
        <f t="shared" si="0"/>
        <v>0</v>
      </c>
    </row>
    <row r="20" spans="1:14" ht="75">
      <c r="A20" s="2" t="s">
        <v>41</v>
      </c>
      <c r="B20" s="3" t="s">
        <v>42</v>
      </c>
      <c r="C20" s="2"/>
      <c r="D20" s="10" t="s">
        <v>43</v>
      </c>
      <c r="E20" s="2">
        <v>18</v>
      </c>
      <c r="F20" s="2" t="s">
        <v>44</v>
      </c>
      <c r="G20" s="11">
        <f>1402.91*1.3</f>
        <v>1823.7830000000001</v>
      </c>
      <c r="H20" s="11">
        <f t="shared" si="0"/>
        <v>32828.094000000005</v>
      </c>
      <c r="J20" s="2">
        <f>1402.91*1.3</f>
        <v>1823.7830000000001</v>
      </c>
      <c r="K20" s="2">
        <v>18</v>
      </c>
      <c r="L20">
        <f>J20*K20</f>
        <v>32828.094000000005</v>
      </c>
    </row>
    <row r="21" spans="1:14" ht="75">
      <c r="A21" s="2" t="s">
        <v>45</v>
      </c>
      <c r="B21" s="3" t="s">
        <v>46</v>
      </c>
      <c r="C21" s="2"/>
      <c r="D21" s="10" t="s">
        <v>47</v>
      </c>
      <c r="E21" s="2">
        <v>4</v>
      </c>
      <c r="F21" s="2" t="s">
        <v>44</v>
      </c>
      <c r="G21" s="11">
        <f>2007.58*1.3</f>
        <v>2609.8539999999998</v>
      </c>
      <c r="H21" s="11">
        <f t="shared" si="0"/>
        <v>10439.415999999999</v>
      </c>
      <c r="J21" s="2">
        <v>2650</v>
      </c>
      <c r="K21" s="2">
        <v>4</v>
      </c>
      <c r="L21">
        <f>J21*K21</f>
        <v>10600</v>
      </c>
    </row>
    <row r="22" spans="1:14" ht="75">
      <c r="A22" s="2" t="s">
        <v>48</v>
      </c>
      <c r="B22" s="3" t="s">
        <v>49</v>
      </c>
      <c r="C22" s="2"/>
      <c r="D22" s="10" t="s">
        <v>50</v>
      </c>
      <c r="E22" s="2">
        <v>5</v>
      </c>
      <c r="F22" s="2" t="s">
        <v>44</v>
      </c>
      <c r="G22" s="11">
        <f>2782.64*1.3</f>
        <v>3617.4319999999998</v>
      </c>
      <c r="H22" s="11">
        <f t="shared" si="0"/>
        <v>18087.16</v>
      </c>
      <c r="J22" s="2">
        <v>3200</v>
      </c>
      <c r="K22" s="2">
        <v>5</v>
      </c>
      <c r="L22">
        <f>J22*K22</f>
        <v>16000</v>
      </c>
    </row>
    <row r="23" spans="1:14" ht="45">
      <c r="A23" s="2" t="s">
        <v>51</v>
      </c>
      <c r="B23" s="3" t="s">
        <v>52</v>
      </c>
      <c r="C23" s="2"/>
      <c r="D23" s="10" t="s">
        <v>53</v>
      </c>
      <c r="E23" s="2">
        <v>1</v>
      </c>
      <c r="F23" s="2" t="s">
        <v>44</v>
      </c>
      <c r="G23" s="11">
        <f>3721.26*1.3</f>
        <v>4837.6380000000008</v>
      </c>
      <c r="H23" s="11">
        <f t="shared" si="0"/>
        <v>4837.6380000000008</v>
      </c>
      <c r="J23" s="2">
        <v>4300</v>
      </c>
      <c r="K23" s="2">
        <v>1</v>
      </c>
      <c r="L23">
        <f>J23*K23</f>
        <v>4300</v>
      </c>
    </row>
    <row r="24" spans="1:14">
      <c r="A24" s="2" t="s">
        <v>54</v>
      </c>
      <c r="B24" s="3" t="s">
        <v>55</v>
      </c>
      <c r="C24" s="2"/>
      <c r="D24" s="10" t="s">
        <v>56</v>
      </c>
      <c r="E24" s="2">
        <v>1</v>
      </c>
      <c r="F24" s="2" t="s">
        <v>44</v>
      </c>
      <c r="G24" s="11">
        <v>5350</v>
      </c>
      <c r="H24" s="11">
        <f t="shared" si="0"/>
        <v>5350</v>
      </c>
      <c r="J24" s="2">
        <v>5350</v>
      </c>
      <c r="K24" s="2">
        <v>1</v>
      </c>
      <c r="L24">
        <f>J24*K24</f>
        <v>5350</v>
      </c>
    </row>
    <row r="25" spans="1:14">
      <c r="A25" s="1"/>
      <c r="B25" s="1"/>
      <c r="C25" s="1"/>
      <c r="D25" s="1"/>
      <c r="E25" s="2"/>
      <c r="F25" s="2"/>
      <c r="G25" s="11"/>
      <c r="H25" s="11">
        <f>SUM(H10:H24)</f>
        <v>267470.46300000005</v>
      </c>
      <c r="L25">
        <f>SUM(L20:L24)</f>
        <v>69078.094000000012</v>
      </c>
      <c r="N25" s="12">
        <f>SUM(H20:H24)</f>
        <v>71542.308000000005</v>
      </c>
    </row>
    <row r="27" spans="1:14">
      <c r="E27" s="13" t="s">
        <v>57</v>
      </c>
    </row>
  </sheetData>
  <mergeCells count="7">
    <mergeCell ref="F7:F8"/>
    <mergeCell ref="G7:H7"/>
    <mergeCell ref="A7:A8"/>
    <mergeCell ref="B7:B8"/>
    <mergeCell ref="C7:C8"/>
    <mergeCell ref="D7:D8"/>
    <mergeCell ref="E7:E8"/>
  </mergeCells>
  <pageMargins left="0.31527777777777799" right="0.31527777777777799" top="0.78749999999999998" bottom="0.78749999999999998" header="0.51180555555555496" footer="0.51180555555555496"/>
  <pageSetup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9:H46"/>
  <sheetViews>
    <sheetView view="pageBreakPreview" workbookViewId="0">
      <pane ySplit="15" topLeftCell="A37" activePane="bottomLeft" state="frozen"/>
      <selection pane="bottomLeft" activeCell="E27" sqref="E27"/>
    </sheetView>
  </sheetViews>
  <sheetFormatPr defaultRowHeight="15"/>
  <cols>
    <col min="1" max="1" width="8.7109375" customWidth="1"/>
    <col min="2" max="2" width="11.42578125"/>
    <col min="3" max="3" width="64" customWidth="1"/>
    <col min="4" max="4" width="7.85546875" customWidth="1"/>
    <col min="5" max="5" width="10" customWidth="1"/>
    <col min="6" max="6" width="12.42578125" customWidth="1"/>
    <col min="7" max="7" width="17.140625" customWidth="1"/>
    <col min="8" max="1025" width="8.7109375" customWidth="1"/>
  </cols>
  <sheetData>
    <row r="9" spans="1:7">
      <c r="A9" t="s">
        <v>58</v>
      </c>
    </row>
    <row r="10" spans="1:7" ht="3.75" customHeight="1"/>
    <row r="11" spans="1:7" ht="21">
      <c r="A11" t="s">
        <v>1</v>
      </c>
      <c r="D11" s="14" t="s">
        <v>59</v>
      </c>
    </row>
    <row r="12" spans="1:7" ht="3" customHeight="1"/>
    <row r="13" spans="1:7">
      <c r="A13" t="s">
        <v>2</v>
      </c>
      <c r="F13" s="1" t="s">
        <v>3</v>
      </c>
      <c r="G13" s="1"/>
    </row>
    <row r="14" spans="1:7" ht="15.75" customHeight="1">
      <c r="A14" s="357" t="s">
        <v>4</v>
      </c>
      <c r="B14" s="358" t="s">
        <v>5</v>
      </c>
      <c r="C14" s="356" t="s">
        <v>7</v>
      </c>
      <c r="D14" s="356" t="s">
        <v>9</v>
      </c>
      <c r="E14" s="356" t="s">
        <v>8</v>
      </c>
      <c r="F14" s="356" t="s">
        <v>10</v>
      </c>
      <c r="G14" s="356"/>
    </row>
    <row r="15" spans="1:7" ht="15.75">
      <c r="A15" s="357"/>
      <c r="B15" s="358"/>
      <c r="C15" s="356"/>
      <c r="D15" s="356"/>
      <c r="E15" s="356"/>
      <c r="F15" s="15" t="s">
        <v>11</v>
      </c>
      <c r="G15" s="15" t="s">
        <v>12</v>
      </c>
    </row>
    <row r="16" spans="1:7" ht="26.25">
      <c r="A16" s="16">
        <v>1</v>
      </c>
      <c r="B16" s="17" t="s">
        <v>60</v>
      </c>
      <c r="C16" s="18" t="s">
        <v>18</v>
      </c>
      <c r="D16" s="19"/>
      <c r="E16" s="20"/>
      <c r="F16" s="21"/>
      <c r="G16" s="22">
        <f>SUM(G17:G19)</f>
        <v>15893.77</v>
      </c>
    </row>
    <row r="17" spans="1:8" ht="45" customHeight="1">
      <c r="A17" s="23" t="s">
        <v>14</v>
      </c>
      <c r="B17" s="24" t="s">
        <v>61</v>
      </c>
      <c r="C17" s="25" t="s">
        <v>62</v>
      </c>
      <c r="D17" s="26" t="s">
        <v>22</v>
      </c>
      <c r="E17" s="27">
        <f>810+126</f>
        <v>936</v>
      </c>
      <c r="F17" s="28">
        <f>5.87*(1+$D$38)</f>
        <v>7.6310000000000002</v>
      </c>
      <c r="G17" s="28">
        <f>ROUND(F17*E17,2)</f>
        <v>7142.62</v>
      </c>
    </row>
    <row r="18" spans="1:8" ht="44.25" customHeight="1">
      <c r="A18" s="23" t="s">
        <v>63</v>
      </c>
      <c r="B18" s="24" t="s">
        <v>64</v>
      </c>
      <c r="C18" s="25" t="s">
        <v>65</v>
      </c>
      <c r="D18" s="26" t="s">
        <v>22</v>
      </c>
      <c r="E18" s="27">
        <v>890.49</v>
      </c>
      <c r="F18" s="28">
        <f>7.15*(1+$D$38)</f>
        <v>9.2949999999999999</v>
      </c>
      <c r="G18" s="28">
        <f>ROUND(F18*E18,2)</f>
        <v>8277.1</v>
      </c>
    </row>
    <row r="19" spans="1:8" ht="30" customHeight="1">
      <c r="A19" s="23" t="s">
        <v>66</v>
      </c>
      <c r="B19" s="24" t="s">
        <v>67</v>
      </c>
      <c r="C19" s="25" t="s">
        <v>28</v>
      </c>
      <c r="D19" s="26" t="s">
        <v>17</v>
      </c>
      <c r="E19" s="27">
        <v>127.5</v>
      </c>
      <c r="F19" s="28">
        <f>2.86*(1+$D$38)</f>
        <v>3.718</v>
      </c>
      <c r="G19" s="28">
        <f>ROUND(F19*E19,2)</f>
        <v>474.05</v>
      </c>
    </row>
    <row r="20" spans="1:8" ht="30">
      <c r="A20" s="16">
        <v>2</v>
      </c>
      <c r="B20" s="29" t="s">
        <v>68</v>
      </c>
      <c r="C20" s="18" t="s">
        <v>29</v>
      </c>
      <c r="D20" s="30"/>
      <c r="E20" s="31"/>
      <c r="F20" s="32"/>
      <c r="G20" s="33">
        <f>SUM(G21:G22)</f>
        <v>37426.899999999994</v>
      </c>
      <c r="H20" s="34"/>
    </row>
    <row r="21" spans="1:8" ht="18" customHeight="1">
      <c r="A21" s="23" t="s">
        <v>19</v>
      </c>
      <c r="B21" s="24" t="s">
        <v>69</v>
      </c>
      <c r="C21" s="35" t="s">
        <v>32</v>
      </c>
      <c r="D21" s="26" t="s">
        <v>33</v>
      </c>
      <c r="E21" s="27">
        <v>28</v>
      </c>
      <c r="F21" s="28">
        <f>94.14*(1+$D$38)</f>
        <v>122.38200000000001</v>
      </c>
      <c r="G21" s="28">
        <f>ROUND(F21*E21,2)</f>
        <v>3426.7</v>
      </c>
    </row>
    <row r="22" spans="1:8" ht="15.75" customHeight="1">
      <c r="A22" s="23" t="s">
        <v>23</v>
      </c>
      <c r="B22" s="24" t="s">
        <v>70</v>
      </c>
      <c r="C22" s="36" t="s">
        <v>71</v>
      </c>
      <c r="D22" s="26" t="s">
        <v>33</v>
      </c>
      <c r="E22" s="27">
        <v>180</v>
      </c>
      <c r="F22" s="28">
        <f>145.3*(1+$D$38)</f>
        <v>188.89000000000001</v>
      </c>
      <c r="G22" s="28">
        <f>ROUND(F22*E22,2)</f>
        <v>34000.199999999997</v>
      </c>
    </row>
    <row r="23" spans="1:8" ht="26.25">
      <c r="A23" s="37">
        <v>3</v>
      </c>
      <c r="B23" s="17" t="s">
        <v>60</v>
      </c>
      <c r="C23" s="18" t="s">
        <v>72</v>
      </c>
      <c r="D23" s="19"/>
      <c r="E23" s="31"/>
      <c r="F23" s="32"/>
      <c r="G23" s="33">
        <f>SUM(G24:G25)</f>
        <v>15246.71</v>
      </c>
    </row>
    <row r="24" spans="1:8" ht="43.5" customHeight="1">
      <c r="A24" s="23" t="s">
        <v>30</v>
      </c>
      <c r="B24" s="24" t="s">
        <v>73</v>
      </c>
      <c r="C24" s="38" t="s">
        <v>43</v>
      </c>
      <c r="D24" s="39" t="s">
        <v>44</v>
      </c>
      <c r="E24" s="27">
        <v>4</v>
      </c>
      <c r="F24" s="28">
        <f>1454.89*(1+$D$38)</f>
        <v>1891.3570000000002</v>
      </c>
      <c r="G24" s="28">
        <f>ROUND(F24*E24,2)</f>
        <v>7565.43</v>
      </c>
    </row>
    <row r="25" spans="1:8" ht="43.5" customHeight="1">
      <c r="A25" s="23" t="s">
        <v>34</v>
      </c>
      <c r="B25" s="24" t="s">
        <v>74</v>
      </c>
      <c r="C25" s="38" t="s">
        <v>50</v>
      </c>
      <c r="D25" s="39" t="s">
        <v>44</v>
      </c>
      <c r="E25" s="27">
        <v>2</v>
      </c>
      <c r="F25" s="28">
        <f>2954.34*(1+$D$38)</f>
        <v>3840.6420000000003</v>
      </c>
      <c r="G25" s="28">
        <f>ROUND(F25*E25,2)</f>
        <v>7681.28</v>
      </c>
    </row>
    <row r="26" spans="1:8" ht="28.5" customHeight="1">
      <c r="A26" s="37">
        <v>4</v>
      </c>
      <c r="B26" s="17" t="s">
        <v>60</v>
      </c>
      <c r="C26" s="18" t="s">
        <v>75</v>
      </c>
      <c r="D26" s="40" t="s">
        <v>17</v>
      </c>
      <c r="E26" s="41">
        <v>4623.1099999999997</v>
      </c>
      <c r="F26" s="42" t="s">
        <v>76</v>
      </c>
      <c r="G26" s="33">
        <f>SUM(G27:G36)</f>
        <v>116115.39</v>
      </c>
    </row>
    <row r="27" spans="1:8" ht="36" customHeight="1">
      <c r="A27" s="43" t="s">
        <v>41</v>
      </c>
      <c r="B27" s="44" t="s">
        <v>77</v>
      </c>
      <c r="C27" s="45" t="s">
        <v>78</v>
      </c>
      <c r="D27" s="46" t="s">
        <v>22</v>
      </c>
      <c r="E27" s="47">
        <f>ROUND($E$26*0.25,2)</f>
        <v>1155.78</v>
      </c>
      <c r="F27" s="28">
        <f>1.98*(1+$D$38)</f>
        <v>2.5739999999999998</v>
      </c>
      <c r="G27" s="28">
        <f t="shared" ref="G27:G36" si="0">ROUND(F27*E27,2)</f>
        <v>2974.98</v>
      </c>
    </row>
    <row r="28" spans="1:8" ht="51" customHeight="1">
      <c r="A28" s="43" t="s">
        <v>45</v>
      </c>
      <c r="B28" s="44" t="s">
        <v>79</v>
      </c>
      <c r="C28" s="48" t="s">
        <v>80</v>
      </c>
      <c r="D28" s="46" t="s">
        <v>22</v>
      </c>
      <c r="E28" s="47">
        <f>ROUND($E$26*0.25,2)</f>
        <v>1155.78</v>
      </c>
      <c r="F28" s="28">
        <f>1*(1+$D$38)</f>
        <v>1.3</v>
      </c>
      <c r="G28" s="28">
        <f t="shared" si="0"/>
        <v>1502.51</v>
      </c>
    </row>
    <row r="29" spans="1:8" ht="32.25" customHeight="1">
      <c r="A29" s="43" t="s">
        <v>48</v>
      </c>
      <c r="B29" s="44" t="s">
        <v>81</v>
      </c>
      <c r="C29" s="48" t="s">
        <v>82</v>
      </c>
      <c r="D29" s="46" t="s">
        <v>22</v>
      </c>
      <c r="E29" s="47">
        <f>ROUND($E$26*0.2,2)</f>
        <v>924.62</v>
      </c>
      <c r="F29" s="28">
        <f>1.91*(1+$D$38)</f>
        <v>2.4830000000000001</v>
      </c>
      <c r="G29" s="28">
        <f t="shared" si="0"/>
        <v>2295.83</v>
      </c>
    </row>
    <row r="30" spans="1:8" ht="54" customHeight="1">
      <c r="A30" s="43" t="s">
        <v>51</v>
      </c>
      <c r="B30" s="44" t="s">
        <v>83</v>
      </c>
      <c r="C30" s="48" t="s">
        <v>84</v>
      </c>
      <c r="D30" s="46" t="s">
        <v>22</v>
      </c>
      <c r="E30" s="47">
        <f>ROUND($E$26*0.2,2)</f>
        <v>924.62</v>
      </c>
      <c r="F30" s="28">
        <f>2.89*(1+$D$38)</f>
        <v>3.7570000000000001</v>
      </c>
      <c r="G30" s="28">
        <f t="shared" si="0"/>
        <v>3473.8</v>
      </c>
    </row>
    <row r="31" spans="1:8" ht="42" customHeight="1">
      <c r="A31" s="43" t="s">
        <v>54</v>
      </c>
      <c r="B31" s="44" t="s">
        <v>81</v>
      </c>
      <c r="C31" s="48" t="s">
        <v>85</v>
      </c>
      <c r="D31" s="46" t="s">
        <v>22</v>
      </c>
      <c r="E31" s="47">
        <f>ROUND($E$26*0.2,2)</f>
        <v>924.62</v>
      </c>
      <c r="F31" s="28">
        <f>1.91*(1+$D$38)</f>
        <v>2.4830000000000001</v>
      </c>
      <c r="G31" s="28">
        <f t="shared" si="0"/>
        <v>2295.83</v>
      </c>
    </row>
    <row r="32" spans="1:8" ht="25.5" customHeight="1">
      <c r="A32" s="43" t="s">
        <v>86</v>
      </c>
      <c r="B32" s="44" t="s">
        <v>87</v>
      </c>
      <c r="C32" s="49" t="s">
        <v>88</v>
      </c>
      <c r="D32" s="46" t="s">
        <v>17</v>
      </c>
      <c r="E32" s="47">
        <v>4623.1099999999997</v>
      </c>
      <c r="F32" s="28">
        <f>1.5*(1+$D$38)</f>
        <v>1.9500000000000002</v>
      </c>
      <c r="G32" s="28">
        <f t="shared" si="0"/>
        <v>9015.06</v>
      </c>
    </row>
    <row r="33" spans="1:7" ht="25.5">
      <c r="A33" s="43" t="s">
        <v>89</v>
      </c>
      <c r="B33" s="44" t="s">
        <v>90</v>
      </c>
      <c r="C33" s="49" t="s">
        <v>91</v>
      </c>
      <c r="D33" s="46" t="s">
        <v>22</v>
      </c>
      <c r="E33" s="47">
        <f>ROUND($E$26*0.1,2)</f>
        <v>462.31</v>
      </c>
      <c r="F33" s="28">
        <f>11.12*(1+$D$38)</f>
        <v>14.456</v>
      </c>
      <c r="G33" s="28">
        <f t="shared" si="0"/>
        <v>6683.15</v>
      </c>
    </row>
    <row r="34" spans="1:7" ht="18.75" customHeight="1">
      <c r="A34" s="43" t="s">
        <v>92</v>
      </c>
      <c r="B34" s="44" t="s">
        <v>93</v>
      </c>
      <c r="C34" s="49" t="s">
        <v>94</v>
      </c>
      <c r="D34" s="46" t="s">
        <v>17</v>
      </c>
      <c r="E34" s="47">
        <v>4625.1099999999997</v>
      </c>
      <c r="F34" s="28">
        <f>2.74*(1+$D$38)</f>
        <v>3.5620000000000003</v>
      </c>
      <c r="G34" s="28">
        <f t="shared" si="0"/>
        <v>16474.64</v>
      </c>
    </row>
    <row r="35" spans="1:7">
      <c r="A35" s="43" t="s">
        <v>95</v>
      </c>
      <c r="B35" s="44" t="s">
        <v>96</v>
      </c>
      <c r="C35" s="49" t="s">
        <v>97</v>
      </c>
      <c r="D35" s="46" t="s">
        <v>17</v>
      </c>
      <c r="E35" s="47">
        <v>4626.1099999999997</v>
      </c>
      <c r="F35" s="28">
        <f>1.03*(1+$D$38)</f>
        <v>1.3390000000000002</v>
      </c>
      <c r="G35" s="28">
        <f t="shared" si="0"/>
        <v>6194.36</v>
      </c>
    </row>
    <row r="36" spans="1:7" ht="25.5">
      <c r="A36" s="43" t="s">
        <v>98</v>
      </c>
      <c r="B36" s="50" t="s">
        <v>99</v>
      </c>
      <c r="C36" s="51" t="s">
        <v>100</v>
      </c>
      <c r="D36" s="52" t="s">
        <v>17</v>
      </c>
      <c r="E36" s="47">
        <v>4627.1099999999997</v>
      </c>
      <c r="F36" s="28">
        <f>10.84*(1+$D$38)</f>
        <v>14.092000000000001</v>
      </c>
      <c r="G36" s="28">
        <f t="shared" si="0"/>
        <v>65205.23</v>
      </c>
    </row>
    <row r="38" spans="1:7" ht="15.75">
      <c r="A38" s="53"/>
      <c r="B38" s="54"/>
      <c r="C38" s="55" t="s">
        <v>101</v>
      </c>
      <c r="D38" s="56">
        <v>0.3</v>
      </c>
      <c r="E38" s="57"/>
      <c r="F38" s="57"/>
      <c r="G38" s="58">
        <f>SUM(G16+G20+G23+G26)</f>
        <v>184682.77000000002</v>
      </c>
    </row>
    <row r="40" spans="1:7">
      <c r="F40" s="59" t="s">
        <v>102</v>
      </c>
    </row>
    <row r="41" spans="1:7">
      <c r="D41" s="60"/>
      <c r="E41" s="60"/>
      <c r="G41" s="61"/>
    </row>
    <row r="42" spans="1:7">
      <c r="D42" s="60"/>
      <c r="E42" s="60"/>
      <c r="G42" s="60"/>
    </row>
    <row r="43" spans="1:7">
      <c r="D43" s="60"/>
      <c r="E43" s="60"/>
      <c r="F43" s="60"/>
      <c r="G43" s="60"/>
    </row>
    <row r="44" spans="1:7">
      <c r="C44" s="61" t="s">
        <v>103</v>
      </c>
      <c r="F44" s="61" t="s">
        <v>104</v>
      </c>
    </row>
    <row r="45" spans="1:7">
      <c r="C45" s="61" t="s">
        <v>105</v>
      </c>
      <c r="F45" s="61" t="s">
        <v>106</v>
      </c>
    </row>
    <row r="46" spans="1:7">
      <c r="C46" s="60" t="s">
        <v>107</v>
      </c>
    </row>
  </sheetData>
  <mergeCells count="6">
    <mergeCell ref="F14:G14"/>
    <mergeCell ref="A14:A15"/>
    <mergeCell ref="B14:B15"/>
    <mergeCell ref="C14:C15"/>
    <mergeCell ref="D14:D15"/>
    <mergeCell ref="E14:E15"/>
  </mergeCells>
  <pageMargins left="0.51180555555555496" right="0.118055555555556" top="0.39374999999999999" bottom="0.59027777777777801" header="0.51180555555555496" footer="0.51180555555555496"/>
  <pageSetup paperSize="9" firstPageNumber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9:H37"/>
  <sheetViews>
    <sheetView view="pageBreakPreview" zoomScale="115" zoomScaleSheetLayoutView="115" workbookViewId="0">
      <pane ySplit="18" topLeftCell="A19" activePane="bottomLeft" state="frozen"/>
      <selection pane="bottomLeft" activeCell="C37" sqref="C37"/>
    </sheetView>
  </sheetViews>
  <sheetFormatPr defaultRowHeight="15"/>
  <cols>
    <col min="1" max="1" width="8.7109375" customWidth="1"/>
    <col min="2" max="2" width="10.85546875" customWidth="1"/>
    <col min="3" max="3" width="66" customWidth="1"/>
    <col min="4" max="4" width="6.5703125" customWidth="1"/>
    <col min="5" max="5" width="25.7109375" customWidth="1"/>
    <col min="6" max="6" width="10.85546875" customWidth="1"/>
    <col min="7" max="7" width="15.85546875" customWidth="1"/>
    <col min="8" max="8" width="19.42578125" customWidth="1"/>
    <col min="9" max="9" width="13.85546875" customWidth="1"/>
    <col min="10" max="1025" width="8.7109375" customWidth="1"/>
  </cols>
  <sheetData>
    <row r="9" spans="1:8" ht="23.25">
      <c r="A9" s="364" t="s">
        <v>108</v>
      </c>
      <c r="B9" s="364"/>
      <c r="C9" s="364"/>
      <c r="D9" s="364"/>
      <c r="E9" s="364"/>
      <c r="F9" s="364"/>
    </row>
    <row r="10" spans="1:8">
      <c r="A10" s="62" t="s">
        <v>244</v>
      </c>
    </row>
    <row r="11" spans="1:8" ht="3.75" customHeight="1"/>
    <row r="12" spans="1:8" ht="66" customHeight="1">
      <c r="A12" s="368" t="s">
        <v>238</v>
      </c>
      <c r="B12" s="368"/>
      <c r="C12" s="368"/>
      <c r="D12" s="368"/>
      <c r="E12" s="14"/>
    </row>
    <row r="13" spans="1:8" ht="3" customHeight="1"/>
    <row r="14" spans="1:8">
      <c r="A14" s="62" t="s">
        <v>109</v>
      </c>
      <c r="G14" s="63"/>
      <c r="H14" s="64"/>
    </row>
    <row r="15" spans="1:8" ht="5.25" customHeight="1">
      <c r="G15" s="65"/>
      <c r="H15" s="65"/>
    </row>
    <row r="16" spans="1:8">
      <c r="A16" s="66" t="s">
        <v>243</v>
      </c>
      <c r="C16" s="62" t="s">
        <v>110</v>
      </c>
      <c r="G16" s="65"/>
      <c r="H16" s="65"/>
    </row>
    <row r="17" spans="1:8" ht="15" customHeight="1">
      <c r="A17" s="365" t="s">
        <v>4</v>
      </c>
      <c r="B17" s="366" t="s">
        <v>221</v>
      </c>
      <c r="C17" s="367" t="s">
        <v>7</v>
      </c>
      <c r="D17" s="367" t="s">
        <v>9</v>
      </c>
      <c r="E17" s="367" t="s">
        <v>111</v>
      </c>
      <c r="F17" s="367" t="s">
        <v>8</v>
      </c>
      <c r="G17" s="363" t="s">
        <v>10</v>
      </c>
      <c r="H17" s="363"/>
    </row>
    <row r="18" spans="1:8" ht="15.75">
      <c r="A18" s="365"/>
      <c r="B18" s="366"/>
      <c r="C18" s="367"/>
      <c r="D18" s="367"/>
      <c r="E18" s="367"/>
      <c r="F18" s="367"/>
      <c r="G18" s="68" t="s">
        <v>11</v>
      </c>
      <c r="H18" s="67" t="s">
        <v>12</v>
      </c>
    </row>
    <row r="19" spans="1:8" ht="26.25">
      <c r="A19" s="304" t="s">
        <v>135</v>
      </c>
      <c r="B19" s="305"/>
      <c r="C19" s="306" t="s">
        <v>220</v>
      </c>
      <c r="D19" s="307"/>
      <c r="E19" s="308"/>
      <c r="F19" s="309"/>
      <c r="G19" s="70"/>
      <c r="H19" s="71"/>
    </row>
    <row r="20" spans="1:8" ht="19.5">
      <c r="A20" s="304" t="s">
        <v>14</v>
      </c>
      <c r="B20" s="310" t="s">
        <v>112</v>
      </c>
      <c r="C20" s="318" t="s">
        <v>229</v>
      </c>
      <c r="D20" s="317" t="s">
        <v>233</v>
      </c>
      <c r="E20" s="308" t="s">
        <v>232</v>
      </c>
      <c r="F20" s="309">
        <v>6.75</v>
      </c>
      <c r="G20" s="70"/>
      <c r="H20" s="71"/>
    </row>
    <row r="21" spans="1:8" ht="28.5">
      <c r="A21" s="304" t="s">
        <v>63</v>
      </c>
      <c r="B21" s="310" t="s">
        <v>222</v>
      </c>
      <c r="C21" s="322" t="s">
        <v>223</v>
      </c>
      <c r="D21" s="317" t="s">
        <v>233</v>
      </c>
      <c r="E21" s="308" t="s">
        <v>239</v>
      </c>
      <c r="F21" s="309">
        <f>883.68+728.88+1922.7+581.51+621.77+843.88</f>
        <v>5582.420000000001</v>
      </c>
      <c r="G21" s="70"/>
      <c r="H21" s="71"/>
    </row>
    <row r="22" spans="1:8" ht="61.5" customHeight="1">
      <c r="A22" s="304" t="s">
        <v>66</v>
      </c>
      <c r="B22" s="310" t="s">
        <v>113</v>
      </c>
      <c r="C22" s="322" t="s">
        <v>224</v>
      </c>
      <c r="D22" s="323" t="s">
        <v>233</v>
      </c>
      <c r="E22" s="324" t="str">
        <f>E21</f>
        <v>883,68+728,88+1922,7+581,51+621,77+843,88</v>
      </c>
      <c r="F22" s="309">
        <f>F21</f>
        <v>5582.420000000001</v>
      </c>
      <c r="G22" s="80"/>
      <c r="H22" s="80"/>
    </row>
    <row r="23" spans="1:8" ht="19.5">
      <c r="A23" s="304" t="s">
        <v>226</v>
      </c>
      <c r="B23" s="310" t="s">
        <v>225</v>
      </c>
      <c r="C23" s="319" t="s">
        <v>237</v>
      </c>
      <c r="D23" s="317" t="s">
        <v>234</v>
      </c>
      <c r="E23" s="311" t="s">
        <v>240</v>
      </c>
      <c r="F23" s="309">
        <f>ROUNDDOWN(F22*0.015,2)</f>
        <v>83.73</v>
      </c>
      <c r="G23" s="70"/>
      <c r="H23" s="71"/>
    </row>
    <row r="24" spans="1:8" ht="33">
      <c r="A24" s="304" t="s">
        <v>227</v>
      </c>
      <c r="B24" s="310" t="s">
        <v>114</v>
      </c>
      <c r="C24" s="319" t="s">
        <v>235</v>
      </c>
      <c r="D24" s="317" t="s">
        <v>234</v>
      </c>
      <c r="E24" s="312" t="s">
        <v>241</v>
      </c>
      <c r="F24" s="313">
        <f>ROUNDDOWN(F22*0.03,2)</f>
        <v>167.47</v>
      </c>
      <c r="G24" s="70"/>
      <c r="H24" s="71"/>
    </row>
    <row r="25" spans="1:8" ht="18.75">
      <c r="A25" s="75"/>
      <c r="B25" s="52"/>
      <c r="C25" s="76"/>
      <c r="D25" s="77"/>
      <c r="E25" s="78"/>
      <c r="F25" s="79"/>
      <c r="G25" s="82"/>
      <c r="H25" s="82"/>
    </row>
    <row r="26" spans="1:8" ht="18.75">
      <c r="A26" s="69"/>
      <c r="B26" s="52"/>
      <c r="C26" s="74"/>
      <c r="D26" s="81"/>
      <c r="E26" s="83"/>
      <c r="F26" s="73"/>
      <c r="G26" s="82"/>
      <c r="H26" s="82"/>
    </row>
    <row r="27" spans="1:8" ht="18.75">
      <c r="A27" s="69"/>
      <c r="B27" s="52"/>
      <c r="C27" s="74"/>
      <c r="D27" s="81"/>
      <c r="E27" s="83"/>
      <c r="F27" s="73"/>
      <c r="G27" s="82"/>
      <c r="H27" s="82"/>
    </row>
    <row r="28" spans="1:8">
      <c r="E28" s="91" t="s">
        <v>242</v>
      </c>
      <c r="G28" s="82"/>
      <c r="H28" s="82"/>
    </row>
    <row r="29" spans="1:8">
      <c r="G29" s="84"/>
      <c r="H29" s="84"/>
    </row>
    <row r="30" spans="1:8" ht="18.75">
      <c r="A30" s="85"/>
      <c r="B30" s="85"/>
      <c r="C30" s="86"/>
      <c r="D30" s="87"/>
      <c r="E30" s="87"/>
      <c r="F30" s="88"/>
      <c r="G30" s="89"/>
      <c r="H30" s="90">
        <f>SUM(H19:H24)</f>
        <v>0</v>
      </c>
    </row>
    <row r="33" spans="3:8">
      <c r="D33" s="60"/>
      <c r="E33" s="60"/>
      <c r="F33" s="60"/>
      <c r="H33" s="61"/>
    </row>
    <row r="34" spans="3:8">
      <c r="D34" s="60"/>
      <c r="E34" s="60"/>
      <c r="F34" s="60"/>
      <c r="H34" s="60"/>
    </row>
    <row r="35" spans="3:8" ht="18.75">
      <c r="C35" s="92" t="s">
        <v>103</v>
      </c>
      <c r="D35" s="62"/>
      <c r="E35" s="92" t="s">
        <v>228</v>
      </c>
      <c r="G35" s="60"/>
      <c r="H35" s="60"/>
    </row>
    <row r="36" spans="3:8" ht="18.75">
      <c r="C36" s="98" t="s">
        <v>115</v>
      </c>
      <c r="D36" s="62"/>
      <c r="E36" s="92" t="s">
        <v>236</v>
      </c>
      <c r="G36" s="61"/>
    </row>
    <row r="37" spans="3:8" ht="18">
      <c r="C37" s="93" t="s">
        <v>245</v>
      </c>
      <c r="D37" s="62"/>
      <c r="E37" s="62"/>
      <c r="F37" s="62"/>
      <c r="G37" s="61"/>
    </row>
  </sheetData>
  <mergeCells count="9">
    <mergeCell ref="G17:H17"/>
    <mergeCell ref="A9:F9"/>
    <mergeCell ref="A17:A18"/>
    <mergeCell ref="B17:B18"/>
    <mergeCell ref="C17:C18"/>
    <mergeCell ref="D17:D18"/>
    <mergeCell ref="E17:E18"/>
    <mergeCell ref="F17:F18"/>
    <mergeCell ref="A12:D12"/>
  </mergeCells>
  <pageMargins left="0.51180555555555496" right="0.118055555555556" top="0.39374999999999999" bottom="0.59027777777777801" header="0.51180555555555496" footer="0.51180555555555496"/>
  <pageSetup paperSize="9" scale="70" firstPageNumber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8:J95"/>
  <sheetViews>
    <sheetView view="pageBreakPreview" zoomScaleSheetLayoutView="100" workbookViewId="0">
      <pane ySplit="17" topLeftCell="A58" activePane="bottomLeft" state="frozen"/>
      <selection pane="bottomLeft" activeCell="I71" sqref="I71"/>
    </sheetView>
  </sheetViews>
  <sheetFormatPr defaultRowHeight="15"/>
  <cols>
    <col min="1" max="1" width="8.7109375" customWidth="1"/>
    <col min="2" max="2" width="10.28515625" customWidth="1"/>
    <col min="3" max="3" width="64.7109375" customWidth="1"/>
    <col min="4" max="4" width="7.85546875" customWidth="1"/>
    <col min="5" max="5" width="10.28515625" customWidth="1"/>
    <col min="6" max="6" width="13.28515625" customWidth="1"/>
    <col min="7" max="7" width="14.7109375" customWidth="1"/>
    <col min="8" max="8" width="19.42578125" customWidth="1"/>
    <col min="9" max="9" width="29.140625" customWidth="1"/>
    <col min="10" max="10" width="15.28515625" customWidth="1"/>
    <col min="11" max="1026" width="8.7109375" customWidth="1"/>
  </cols>
  <sheetData>
    <row r="8" spans="1:8" ht="7.5" customHeight="1"/>
    <row r="9" spans="1:8">
      <c r="A9" t="s">
        <v>293</v>
      </c>
    </row>
    <row r="10" spans="1:8" ht="3.75" customHeight="1"/>
    <row r="11" spans="1:8" ht="14.25" customHeight="1">
      <c r="A11" s="369" t="s">
        <v>294</v>
      </c>
      <c r="B11" s="369"/>
      <c r="C11" s="369"/>
      <c r="D11" s="369"/>
      <c r="E11" s="369"/>
    </row>
    <row r="12" spans="1:8" ht="3" customHeight="1"/>
    <row r="13" spans="1:8">
      <c r="A13" t="s">
        <v>2</v>
      </c>
      <c r="G13" s="63" t="s">
        <v>117</v>
      </c>
      <c r="H13" s="326">
        <v>0.23380000000000001</v>
      </c>
    </row>
    <row r="14" spans="1:8" ht="5.25" customHeight="1">
      <c r="G14" s="65"/>
      <c r="H14" s="65"/>
    </row>
    <row r="15" spans="1:8">
      <c r="A15" s="66" t="str">
        <f>memorial!A16</f>
        <v>FONTE: CPOS 176</v>
      </c>
      <c r="C15" t="str">
        <f>memorial!C16</f>
        <v>Regime de execução: Empreitada Global</v>
      </c>
      <c r="G15" s="361"/>
      <c r="H15" s="361"/>
    </row>
    <row r="16" spans="1:8" ht="15.75">
      <c r="A16" s="356" t="s">
        <v>4</v>
      </c>
      <c r="B16" s="358" t="str">
        <f>memorial!B17</f>
        <v>código</v>
      </c>
      <c r="C16" s="356" t="s">
        <v>7</v>
      </c>
      <c r="D16" s="356" t="s">
        <v>9</v>
      </c>
      <c r="E16" s="356" t="s">
        <v>8</v>
      </c>
      <c r="F16" s="356" t="s">
        <v>10</v>
      </c>
      <c r="G16" s="356"/>
      <c r="H16" s="356"/>
    </row>
    <row r="17" spans="1:10" ht="15.75">
      <c r="A17" s="356"/>
      <c r="B17" s="358"/>
      <c r="C17" s="356"/>
      <c r="D17" s="356"/>
      <c r="E17" s="356"/>
      <c r="F17" s="328" t="s">
        <v>230</v>
      </c>
      <c r="G17" s="328" t="s">
        <v>231</v>
      </c>
      <c r="H17" s="328" t="s">
        <v>12</v>
      </c>
      <c r="I17" s="330"/>
    </row>
    <row r="18" spans="1:10" ht="19.5" customHeight="1">
      <c r="A18" s="331"/>
      <c r="B18" s="332"/>
      <c r="C18" s="370" t="s">
        <v>246</v>
      </c>
      <c r="D18" s="370"/>
      <c r="E18" s="370"/>
      <c r="F18" s="333"/>
      <c r="G18" s="334"/>
      <c r="H18" s="175"/>
    </row>
    <row r="19" spans="1:10" ht="18" customHeight="1">
      <c r="A19" s="335" t="s">
        <v>135</v>
      </c>
      <c r="B19" s="332"/>
      <c r="C19" s="336" t="s">
        <v>248</v>
      </c>
      <c r="D19" s="336"/>
      <c r="E19" s="336"/>
      <c r="F19" s="333"/>
      <c r="G19" s="334"/>
      <c r="H19" s="175"/>
    </row>
    <row r="20" spans="1:10" ht="31.5" customHeight="1">
      <c r="A20" s="331" t="s">
        <v>14</v>
      </c>
      <c r="B20" s="337" t="s">
        <v>247</v>
      </c>
      <c r="C20" s="338" t="s">
        <v>254</v>
      </c>
      <c r="D20" s="339" t="s">
        <v>233</v>
      </c>
      <c r="E20" s="337">
        <v>3</v>
      </c>
      <c r="F20" s="340">
        <v>13.75</v>
      </c>
      <c r="G20" s="340">
        <f>ROUNDDOWN(F20*(1+($H$13)),2)</f>
        <v>16.96</v>
      </c>
      <c r="H20" s="340">
        <f>ROUNDDOWN(E20*G20,2)</f>
        <v>50.88</v>
      </c>
      <c r="J20" s="314"/>
    </row>
    <row r="21" spans="1:10" ht="19.5">
      <c r="A21" s="331" t="s">
        <v>63</v>
      </c>
      <c r="B21" s="337" t="s">
        <v>249</v>
      </c>
      <c r="C21" s="341" t="s">
        <v>255</v>
      </c>
      <c r="D21" s="339" t="s">
        <v>233</v>
      </c>
      <c r="E21" s="337">
        <v>2</v>
      </c>
      <c r="F21" s="340">
        <v>17.3</v>
      </c>
      <c r="G21" s="340">
        <f t="shared" ref="G21:G23" si="0">ROUNDDOWN(F21*(1+($H$13)),2)</f>
        <v>21.34</v>
      </c>
      <c r="H21" s="340">
        <f t="shared" ref="H21:H23" si="1">ROUNDDOWN(E21*G21,2)</f>
        <v>42.68</v>
      </c>
      <c r="J21" s="314"/>
    </row>
    <row r="22" spans="1:10" ht="16.5" customHeight="1">
      <c r="A22" s="331" t="s">
        <v>66</v>
      </c>
      <c r="B22" s="337" t="s">
        <v>250</v>
      </c>
      <c r="C22" s="341" t="s">
        <v>251</v>
      </c>
      <c r="D22" s="339" t="s">
        <v>233</v>
      </c>
      <c r="E22" s="337">
        <f>E21</f>
        <v>2</v>
      </c>
      <c r="F22" s="340">
        <v>28.89</v>
      </c>
      <c r="G22" s="340">
        <f t="shared" si="0"/>
        <v>35.64</v>
      </c>
      <c r="H22" s="340">
        <f t="shared" si="1"/>
        <v>71.28</v>
      </c>
      <c r="J22" s="314"/>
    </row>
    <row r="23" spans="1:10" ht="48" customHeight="1">
      <c r="A23" s="331" t="s">
        <v>226</v>
      </c>
      <c r="B23" s="337" t="s">
        <v>258</v>
      </c>
      <c r="C23" s="353" t="s">
        <v>259</v>
      </c>
      <c r="D23" s="339" t="s">
        <v>252</v>
      </c>
      <c r="E23" s="337">
        <v>1</v>
      </c>
      <c r="F23" s="340">
        <v>283.14</v>
      </c>
      <c r="G23" s="340">
        <f t="shared" si="0"/>
        <v>349.33</v>
      </c>
      <c r="H23" s="340">
        <f t="shared" si="1"/>
        <v>349.33</v>
      </c>
      <c r="J23" s="314"/>
    </row>
    <row r="24" spans="1:10" ht="16.5" customHeight="1">
      <c r="A24" s="331"/>
      <c r="B24" s="337"/>
      <c r="C24" s="338"/>
      <c r="D24" s="339"/>
      <c r="E24" s="337"/>
      <c r="F24" s="340"/>
      <c r="G24" s="340"/>
      <c r="H24" s="340"/>
      <c r="J24" s="314"/>
    </row>
    <row r="25" spans="1:10" ht="15" customHeight="1">
      <c r="A25" s="335" t="s">
        <v>138</v>
      </c>
      <c r="B25" s="332"/>
      <c r="C25" s="336" t="s">
        <v>256</v>
      </c>
      <c r="D25" s="336"/>
      <c r="E25" s="336"/>
      <c r="F25" s="333"/>
      <c r="G25" s="334"/>
      <c r="H25" s="175"/>
      <c r="J25" s="314"/>
    </row>
    <row r="26" spans="1:10" ht="15" customHeight="1">
      <c r="A26" s="331" t="s">
        <v>19</v>
      </c>
      <c r="B26" s="337" t="s">
        <v>247</v>
      </c>
      <c r="C26" s="338" t="s">
        <v>254</v>
      </c>
      <c r="D26" s="339" t="s">
        <v>233</v>
      </c>
      <c r="E26" s="337">
        <v>4</v>
      </c>
      <c r="F26" s="340">
        <v>13.75</v>
      </c>
      <c r="G26" s="340">
        <f>ROUNDDOWN(F26*(1+($H$13)),2)</f>
        <v>16.96</v>
      </c>
      <c r="H26" s="340">
        <f>ROUNDDOWN(E26*G26,2)</f>
        <v>67.84</v>
      </c>
      <c r="J26" s="314"/>
    </row>
    <row r="27" spans="1:10" ht="15" customHeight="1">
      <c r="A27" s="331" t="s">
        <v>23</v>
      </c>
      <c r="B27" s="337" t="s">
        <v>249</v>
      </c>
      <c r="C27" s="341" t="s">
        <v>255</v>
      </c>
      <c r="D27" s="339" t="s">
        <v>233</v>
      </c>
      <c r="E27" s="337">
        <v>4</v>
      </c>
      <c r="F27" s="340">
        <v>17.3</v>
      </c>
      <c r="G27" s="340">
        <f t="shared" ref="G27:G28" si="2">ROUNDDOWN(F27*(1+($H$13)),2)</f>
        <v>21.34</v>
      </c>
      <c r="H27" s="340">
        <f t="shared" ref="H27:H28" si="3">ROUNDDOWN(E27*G27,2)</f>
        <v>85.36</v>
      </c>
      <c r="J27" s="314"/>
    </row>
    <row r="28" spans="1:10" ht="15" customHeight="1">
      <c r="A28" s="331" t="s">
        <v>26</v>
      </c>
      <c r="B28" s="337" t="s">
        <v>250</v>
      </c>
      <c r="C28" s="341" t="s">
        <v>251</v>
      </c>
      <c r="D28" s="339" t="s">
        <v>233</v>
      </c>
      <c r="E28" s="337">
        <f>E27</f>
        <v>4</v>
      </c>
      <c r="F28" s="340">
        <v>28.89</v>
      </c>
      <c r="G28" s="340">
        <f t="shared" si="2"/>
        <v>35.64</v>
      </c>
      <c r="H28" s="340">
        <f t="shared" si="3"/>
        <v>142.56</v>
      </c>
      <c r="J28" s="314"/>
    </row>
    <row r="29" spans="1:10" ht="15" customHeight="1">
      <c r="A29" s="331"/>
      <c r="B29" s="337"/>
      <c r="C29" s="341"/>
      <c r="D29" s="339"/>
      <c r="E29" s="337"/>
      <c r="F29" s="340"/>
      <c r="G29" s="340"/>
      <c r="H29" s="340"/>
      <c r="J29" s="314"/>
    </row>
    <row r="30" spans="1:10" ht="15" customHeight="1">
      <c r="A30" s="335" t="s">
        <v>140</v>
      </c>
      <c r="B30" s="332"/>
      <c r="C30" s="336" t="s">
        <v>257</v>
      </c>
      <c r="D30" s="336"/>
      <c r="E30" s="336"/>
      <c r="F30" s="333"/>
      <c r="G30" s="334"/>
      <c r="H30" s="175"/>
      <c r="J30" s="314"/>
    </row>
    <row r="31" spans="1:10" ht="15" customHeight="1">
      <c r="A31" s="331" t="s">
        <v>30</v>
      </c>
      <c r="B31" s="337" t="s">
        <v>247</v>
      </c>
      <c r="C31" s="338" t="s">
        <v>254</v>
      </c>
      <c r="D31" s="339" t="s">
        <v>233</v>
      </c>
      <c r="E31" s="337">
        <f>16</f>
        <v>16</v>
      </c>
      <c r="F31" s="340">
        <v>13.75</v>
      </c>
      <c r="G31" s="340">
        <f>ROUNDDOWN(F31*(1+($H$13)),2)</f>
        <v>16.96</v>
      </c>
      <c r="H31" s="340">
        <f>ROUNDDOWN(E31*G31,2)</f>
        <v>271.36</v>
      </c>
      <c r="J31" s="314"/>
    </row>
    <row r="32" spans="1:10" ht="15" customHeight="1">
      <c r="A32" s="331" t="s">
        <v>34</v>
      </c>
      <c r="B32" s="337" t="s">
        <v>249</v>
      </c>
      <c r="C32" s="341" t="s">
        <v>255</v>
      </c>
      <c r="D32" s="339" t="s">
        <v>233</v>
      </c>
      <c r="E32" s="337">
        <f>16+48</f>
        <v>64</v>
      </c>
      <c r="F32" s="340">
        <v>17.3</v>
      </c>
      <c r="G32" s="340">
        <f t="shared" ref="G32:G35" si="4">ROUNDDOWN(F32*(1+($H$13)),2)</f>
        <v>21.34</v>
      </c>
      <c r="H32" s="340">
        <f t="shared" ref="H32:H35" si="5">ROUNDDOWN(E32*G32,2)</f>
        <v>1365.76</v>
      </c>
      <c r="J32" s="314"/>
    </row>
    <row r="33" spans="1:10" ht="15" customHeight="1">
      <c r="A33" s="331" t="s">
        <v>37</v>
      </c>
      <c r="B33" s="337" t="s">
        <v>250</v>
      </c>
      <c r="C33" s="341" t="s">
        <v>251</v>
      </c>
      <c r="D33" s="339" t="s">
        <v>233</v>
      </c>
      <c r="E33" s="337">
        <f>E32</f>
        <v>64</v>
      </c>
      <c r="F33" s="340">
        <v>28.89</v>
      </c>
      <c r="G33" s="340">
        <f t="shared" si="4"/>
        <v>35.64</v>
      </c>
      <c r="H33" s="340">
        <f t="shared" si="5"/>
        <v>2280.96</v>
      </c>
      <c r="J33" s="314"/>
    </row>
    <row r="34" spans="1:10" ht="63" customHeight="1">
      <c r="A34" s="331" t="s">
        <v>261</v>
      </c>
      <c r="B34" s="337" t="s">
        <v>269</v>
      </c>
      <c r="C34" s="341" t="s">
        <v>274</v>
      </c>
      <c r="D34" s="339" t="s">
        <v>233</v>
      </c>
      <c r="E34" s="337">
        <f>E31*1.05</f>
        <v>16.8</v>
      </c>
      <c r="F34" s="340">
        <v>175.95</v>
      </c>
      <c r="G34" s="340">
        <f t="shared" ref="G34" si="6">ROUNDDOWN(F34*(1+($H$13)),2)</f>
        <v>217.08</v>
      </c>
      <c r="H34" s="340">
        <f t="shared" ref="H34" si="7">ROUNDDOWN(E34*G34,2)</f>
        <v>3646.94</v>
      </c>
      <c r="J34" s="314"/>
    </row>
    <row r="35" spans="1:10" ht="36" customHeight="1">
      <c r="A35" s="331" t="s">
        <v>263</v>
      </c>
      <c r="B35" s="337" t="s">
        <v>258</v>
      </c>
      <c r="C35" s="338" t="s">
        <v>259</v>
      </c>
      <c r="D35" s="339" t="s">
        <v>252</v>
      </c>
      <c r="E35" s="337">
        <v>1</v>
      </c>
      <c r="F35" s="340">
        <v>283.14</v>
      </c>
      <c r="G35" s="340">
        <f t="shared" si="4"/>
        <v>349.33</v>
      </c>
      <c r="H35" s="340">
        <f t="shared" si="5"/>
        <v>349.33</v>
      </c>
      <c r="J35" s="314"/>
    </row>
    <row r="36" spans="1:10" ht="30.75" customHeight="1">
      <c r="A36" s="331" t="s">
        <v>262</v>
      </c>
      <c r="B36" s="337" t="s">
        <v>270</v>
      </c>
      <c r="C36" s="338" t="s">
        <v>271</v>
      </c>
      <c r="D36" s="339" t="s">
        <v>210</v>
      </c>
      <c r="E36" s="337">
        <v>0.9</v>
      </c>
      <c r="F36" s="340">
        <v>156.99</v>
      </c>
      <c r="G36" s="340">
        <f t="shared" ref="G36" si="8">ROUNDDOWN(F36*(1+($H$13)),2)</f>
        <v>193.69</v>
      </c>
      <c r="H36" s="340">
        <f t="shared" ref="H36" si="9">ROUNDDOWN(E36*G36,2)</f>
        <v>174.32</v>
      </c>
      <c r="J36" s="314"/>
    </row>
    <row r="37" spans="1:10" ht="15" customHeight="1">
      <c r="A37" s="331"/>
      <c r="B37" s="337"/>
      <c r="C37" s="342" t="s">
        <v>260</v>
      </c>
      <c r="D37" s="339"/>
      <c r="E37" s="337"/>
      <c r="F37" s="340"/>
      <c r="G37" s="340"/>
      <c r="H37" s="340"/>
      <c r="J37" s="314"/>
    </row>
    <row r="38" spans="1:10" ht="17.25" customHeight="1">
      <c r="A38" s="331" t="s">
        <v>264</v>
      </c>
      <c r="B38" s="337" t="s">
        <v>249</v>
      </c>
      <c r="C38" s="341" t="s">
        <v>255</v>
      </c>
      <c r="D38" s="339" t="s">
        <v>233</v>
      </c>
      <c r="E38" s="337">
        <f>(1.96*2+1.99*2)*1.5+3.92</f>
        <v>15.770000000000001</v>
      </c>
      <c r="F38" s="340">
        <v>17.3</v>
      </c>
      <c r="G38" s="340">
        <f t="shared" ref="G38:G42" si="10">ROUNDDOWN(F38*(1+($H$13)),2)</f>
        <v>21.34</v>
      </c>
      <c r="H38" s="340">
        <f t="shared" ref="H38:H42" si="11">ROUNDDOWN(E38*G38,2)</f>
        <v>336.53</v>
      </c>
      <c r="J38" s="314"/>
    </row>
    <row r="39" spans="1:10" ht="49.5" customHeight="1">
      <c r="A39" s="331" t="s">
        <v>272</v>
      </c>
      <c r="B39" s="337" t="s">
        <v>265</v>
      </c>
      <c r="C39" s="341" t="s">
        <v>266</v>
      </c>
      <c r="D39" s="339" t="s">
        <v>233</v>
      </c>
      <c r="E39" s="337">
        <f>1.96*2</f>
        <v>3.92</v>
      </c>
      <c r="F39" s="340">
        <v>41.65</v>
      </c>
      <c r="G39" s="340">
        <f t="shared" ref="G39" si="12">ROUNDDOWN(F39*(1+($H$13)),2)</f>
        <v>51.38</v>
      </c>
      <c r="H39" s="340">
        <f t="shared" ref="H39" si="13">ROUNDDOWN(E39*G39,2)</f>
        <v>201.4</v>
      </c>
      <c r="J39" s="314"/>
    </row>
    <row r="40" spans="1:10" ht="45" customHeight="1">
      <c r="A40" s="331" t="s">
        <v>273</v>
      </c>
      <c r="B40" s="337" t="s">
        <v>276</v>
      </c>
      <c r="C40" s="343" t="s">
        <v>295</v>
      </c>
      <c r="D40" s="339" t="s">
        <v>233</v>
      </c>
      <c r="E40" s="337">
        <f>(1.96*2+1.99*2)*1.5</f>
        <v>11.850000000000001</v>
      </c>
      <c r="F40" s="340">
        <v>66.069999999999993</v>
      </c>
      <c r="G40" s="340">
        <f t="shared" ref="G40" si="14">ROUNDDOWN(F40*(1+($H$13)),2)</f>
        <v>81.510000000000005</v>
      </c>
      <c r="H40" s="340">
        <f t="shared" ref="H40" si="15">ROUNDDOWN(E40*G40,2)</f>
        <v>965.89</v>
      </c>
      <c r="J40" s="314"/>
    </row>
    <row r="41" spans="1:10" ht="15" customHeight="1">
      <c r="A41" s="331" t="s">
        <v>281</v>
      </c>
      <c r="B41" s="337" t="s">
        <v>250</v>
      </c>
      <c r="C41" s="341" t="s">
        <v>251</v>
      </c>
      <c r="D41" s="339" t="s">
        <v>233</v>
      </c>
      <c r="E41" s="337">
        <f>E38</f>
        <v>15.770000000000001</v>
      </c>
      <c r="F41" s="340">
        <v>28.89</v>
      </c>
      <c r="G41" s="340">
        <f t="shared" si="10"/>
        <v>35.64</v>
      </c>
      <c r="H41" s="340">
        <f t="shared" si="11"/>
        <v>562.04</v>
      </c>
      <c r="J41" s="314"/>
    </row>
    <row r="42" spans="1:10" ht="15" customHeight="1">
      <c r="A42" s="331" t="s">
        <v>282</v>
      </c>
      <c r="B42" s="337" t="s">
        <v>270</v>
      </c>
      <c r="C42" s="338" t="s">
        <v>271</v>
      </c>
      <c r="D42" s="339" t="s">
        <v>275</v>
      </c>
      <c r="E42" s="337">
        <v>0.9</v>
      </c>
      <c r="F42" s="340">
        <v>156.99</v>
      </c>
      <c r="G42" s="340">
        <f t="shared" si="10"/>
        <v>193.69</v>
      </c>
      <c r="H42" s="340">
        <f t="shared" si="11"/>
        <v>174.32</v>
      </c>
      <c r="J42" s="314"/>
    </row>
    <row r="43" spans="1:10" ht="45.75" customHeight="1">
      <c r="A43" s="331" t="s">
        <v>283</v>
      </c>
      <c r="B43" s="337" t="s">
        <v>267</v>
      </c>
      <c r="C43" s="338" t="s">
        <v>268</v>
      </c>
      <c r="D43" s="344" t="s">
        <v>252</v>
      </c>
      <c r="E43" s="337">
        <v>1</v>
      </c>
      <c r="F43" s="340">
        <v>175.88</v>
      </c>
      <c r="G43" s="340">
        <f>ROUNDDOWN(F43*(1+($H$13)),2)</f>
        <v>217</v>
      </c>
      <c r="H43" s="340">
        <f>ROUNDDOWN(E43*G43,2)</f>
        <v>217</v>
      </c>
      <c r="J43" s="314"/>
    </row>
    <row r="44" spans="1:10" ht="31.5" customHeight="1">
      <c r="A44" s="331" t="s">
        <v>284</v>
      </c>
      <c r="B44" s="337" t="s">
        <v>288</v>
      </c>
      <c r="C44" s="338" t="s">
        <v>289</v>
      </c>
      <c r="D44" s="339" t="s">
        <v>252</v>
      </c>
      <c r="E44" s="337">
        <v>1</v>
      </c>
      <c r="F44" s="340">
        <v>340.58</v>
      </c>
      <c r="G44" s="340">
        <f t="shared" ref="G44:G49" si="16">ROUNDDOWN(F44*(1+($H$13)),2)</f>
        <v>420.2</v>
      </c>
      <c r="H44" s="340">
        <f t="shared" ref="H44:H45" si="17">ROUNDDOWN(E44*G44,2)</f>
        <v>420.2</v>
      </c>
      <c r="J44" s="314"/>
    </row>
    <row r="45" spans="1:10" ht="23.25" customHeight="1">
      <c r="A45" s="331" t="s">
        <v>285</v>
      </c>
      <c r="B45" s="337" t="s">
        <v>290</v>
      </c>
      <c r="C45" s="338" t="s">
        <v>291</v>
      </c>
      <c r="D45" s="339" t="s">
        <v>252</v>
      </c>
      <c r="E45" s="337">
        <v>1</v>
      </c>
      <c r="F45" s="340">
        <v>215</v>
      </c>
      <c r="G45" s="340">
        <f t="shared" si="16"/>
        <v>265.26</v>
      </c>
      <c r="H45" s="340">
        <f t="shared" si="17"/>
        <v>265.26</v>
      </c>
      <c r="J45" s="314"/>
    </row>
    <row r="46" spans="1:10" ht="30" customHeight="1">
      <c r="A46" s="331" t="s">
        <v>286</v>
      </c>
      <c r="B46" s="337" t="s">
        <v>277</v>
      </c>
      <c r="C46" s="341" t="s">
        <v>278</v>
      </c>
      <c r="D46" s="339" t="s">
        <v>252</v>
      </c>
      <c r="E46" s="337">
        <v>1</v>
      </c>
      <c r="F46" s="340">
        <v>134.88</v>
      </c>
      <c r="G46" s="340">
        <f t="shared" si="16"/>
        <v>166.41</v>
      </c>
      <c r="H46" s="340">
        <f t="shared" ref="H46:H47" si="18">ROUNDDOWN(E46*G46,2)</f>
        <v>166.41</v>
      </c>
      <c r="J46" s="314"/>
    </row>
    <row r="47" spans="1:10" ht="49.5" customHeight="1">
      <c r="A47" s="331" t="s">
        <v>287</v>
      </c>
      <c r="B47" s="337" t="s">
        <v>279</v>
      </c>
      <c r="C47" s="341" t="s">
        <v>308</v>
      </c>
      <c r="D47" s="339" t="s">
        <v>252</v>
      </c>
      <c r="E47" s="337">
        <v>1</v>
      </c>
      <c r="F47" s="340">
        <v>150</v>
      </c>
      <c r="G47" s="340">
        <f t="shared" si="16"/>
        <v>185.07</v>
      </c>
      <c r="H47" s="340">
        <f t="shared" si="18"/>
        <v>185.07</v>
      </c>
      <c r="J47" s="327"/>
    </row>
    <row r="48" spans="1:10" ht="49.5" customHeight="1">
      <c r="A48" s="331" t="s">
        <v>292</v>
      </c>
      <c r="B48" s="337" t="s">
        <v>312</v>
      </c>
      <c r="C48" s="341" t="s">
        <v>313</v>
      </c>
      <c r="D48" s="339" t="s">
        <v>252</v>
      </c>
      <c r="E48" s="337">
        <v>1</v>
      </c>
      <c r="F48" s="340">
        <v>474.68</v>
      </c>
      <c r="G48" s="340">
        <f t="shared" si="16"/>
        <v>585.66</v>
      </c>
      <c r="H48" s="340">
        <f t="shared" ref="H48:H49" si="19">ROUNDDOWN(E48*G48,2)</f>
        <v>585.66</v>
      </c>
      <c r="J48" s="327"/>
    </row>
    <row r="49" spans="1:10" ht="21" customHeight="1">
      <c r="A49" s="331" t="s">
        <v>307</v>
      </c>
      <c r="B49" s="337" t="s">
        <v>305</v>
      </c>
      <c r="C49" s="341" t="s">
        <v>306</v>
      </c>
      <c r="D49" s="339" t="s">
        <v>252</v>
      </c>
      <c r="E49" s="337">
        <v>1</v>
      </c>
      <c r="F49" s="340">
        <v>233.45</v>
      </c>
      <c r="G49" s="340">
        <f t="shared" si="16"/>
        <v>288.02999999999997</v>
      </c>
      <c r="H49" s="340">
        <f t="shared" si="19"/>
        <v>288.02999999999997</v>
      </c>
      <c r="J49" s="327"/>
    </row>
    <row r="50" spans="1:10" ht="33.75" customHeight="1">
      <c r="A50" s="331" t="s">
        <v>310</v>
      </c>
      <c r="B50" s="337" t="s">
        <v>309</v>
      </c>
      <c r="C50" s="341" t="s">
        <v>311</v>
      </c>
      <c r="D50" s="339" t="s">
        <v>252</v>
      </c>
      <c r="E50" s="337">
        <v>1</v>
      </c>
      <c r="F50" s="340">
        <v>173.01</v>
      </c>
      <c r="G50" s="340">
        <f t="shared" ref="G50" si="20">ROUNDDOWN(F50*(1+($H$13)),2)</f>
        <v>213.45</v>
      </c>
      <c r="H50" s="340">
        <f t="shared" ref="H50" si="21">ROUNDDOWN(E50*G50,2)</f>
        <v>213.45</v>
      </c>
      <c r="I50" s="12">
        <f>SUM(H31:H50)</f>
        <v>12669.93</v>
      </c>
      <c r="J50" s="327"/>
    </row>
    <row r="51" spans="1:10" ht="15" customHeight="1">
      <c r="A51" s="331"/>
      <c r="B51" s="337"/>
      <c r="C51" s="341"/>
      <c r="D51" s="339"/>
      <c r="E51" s="337"/>
      <c r="F51" s="340"/>
      <c r="G51" s="340"/>
      <c r="H51" s="340"/>
      <c r="J51" s="327"/>
    </row>
    <row r="52" spans="1:10" ht="15" customHeight="1">
      <c r="A52" s="335" t="s">
        <v>142</v>
      </c>
      <c r="B52" s="332"/>
      <c r="C52" s="336" t="s">
        <v>296</v>
      </c>
      <c r="D52" s="336"/>
      <c r="E52" s="336"/>
      <c r="F52" s="333"/>
      <c r="G52" s="334"/>
      <c r="H52" s="175"/>
      <c r="J52" s="327"/>
    </row>
    <row r="53" spans="1:10" ht="29.25" customHeight="1">
      <c r="A53" s="331" t="s">
        <v>41</v>
      </c>
      <c r="B53" s="337" t="s">
        <v>247</v>
      </c>
      <c r="C53" s="338" t="s">
        <v>254</v>
      </c>
      <c r="D53" s="339" t="s">
        <v>233</v>
      </c>
      <c r="E53" s="337">
        <f>4.55*3.9</f>
        <v>17.744999999999997</v>
      </c>
      <c r="F53" s="340">
        <v>13.75</v>
      </c>
      <c r="G53" s="340">
        <f>ROUNDDOWN(F53*(1+($H$13)),2)</f>
        <v>16.96</v>
      </c>
      <c r="H53" s="340">
        <f>ROUNDDOWN(E53*G53,2)</f>
        <v>300.95</v>
      </c>
      <c r="J53" s="327"/>
    </row>
    <row r="54" spans="1:10" ht="15.75" customHeight="1">
      <c r="A54" s="331" t="s">
        <v>45</v>
      </c>
      <c r="B54" s="337" t="s">
        <v>249</v>
      </c>
      <c r="C54" s="341" t="s">
        <v>255</v>
      </c>
      <c r="D54" s="339" t="s">
        <v>233</v>
      </c>
      <c r="E54" s="337">
        <f>E53+(4.55*2+3.9*2)*1.5</f>
        <v>43.094999999999999</v>
      </c>
      <c r="F54" s="340">
        <v>17.3</v>
      </c>
      <c r="G54" s="340">
        <f t="shared" ref="G54:G58" si="22">ROUNDDOWN(F54*(1+($H$13)),2)</f>
        <v>21.34</v>
      </c>
      <c r="H54" s="340">
        <f t="shared" ref="H54:H58" si="23">ROUNDDOWN(E54*G54,2)</f>
        <v>919.64</v>
      </c>
      <c r="J54" s="327"/>
    </row>
    <row r="55" spans="1:10" ht="17.25" customHeight="1">
      <c r="A55" s="331" t="s">
        <v>48</v>
      </c>
      <c r="B55" s="337" t="s">
        <v>250</v>
      </c>
      <c r="C55" s="341" t="s">
        <v>251</v>
      </c>
      <c r="D55" s="339" t="s">
        <v>233</v>
      </c>
      <c r="E55" s="337">
        <f>E54</f>
        <v>43.094999999999999</v>
      </c>
      <c r="F55" s="340">
        <v>28.89</v>
      </c>
      <c r="G55" s="340">
        <f t="shared" si="22"/>
        <v>35.64</v>
      </c>
      <c r="H55" s="340">
        <f t="shared" si="23"/>
        <v>1535.9</v>
      </c>
      <c r="J55" s="327"/>
    </row>
    <row r="56" spans="1:10" ht="66" customHeight="1">
      <c r="A56" s="331" t="s">
        <v>51</v>
      </c>
      <c r="B56" s="337" t="s">
        <v>269</v>
      </c>
      <c r="C56" s="341" t="s">
        <v>274</v>
      </c>
      <c r="D56" s="339" t="s">
        <v>233</v>
      </c>
      <c r="E56" s="337">
        <f>4.55*3.9*1.05</f>
        <v>18.632249999999999</v>
      </c>
      <c r="F56" s="340">
        <v>175.95</v>
      </c>
      <c r="G56" s="340">
        <f t="shared" si="22"/>
        <v>217.08</v>
      </c>
      <c r="H56" s="340">
        <f t="shared" si="23"/>
        <v>4044.68</v>
      </c>
      <c r="J56" s="327"/>
    </row>
    <row r="57" spans="1:10" ht="49.5" customHeight="1">
      <c r="A57" s="331" t="s">
        <v>54</v>
      </c>
      <c r="B57" s="337" t="s">
        <v>258</v>
      </c>
      <c r="C57" s="338" t="s">
        <v>259</v>
      </c>
      <c r="D57" s="339" t="s">
        <v>252</v>
      </c>
      <c r="E57" s="337">
        <v>1</v>
      </c>
      <c r="F57" s="340">
        <v>283.14</v>
      </c>
      <c r="G57" s="340">
        <f t="shared" si="22"/>
        <v>349.33</v>
      </c>
      <c r="H57" s="340">
        <f t="shared" si="23"/>
        <v>349.33</v>
      </c>
      <c r="J57" s="327"/>
    </row>
    <row r="58" spans="1:10" ht="31.5" customHeight="1">
      <c r="A58" s="331" t="s">
        <v>86</v>
      </c>
      <c r="B58" s="337" t="s">
        <v>270</v>
      </c>
      <c r="C58" s="338" t="s">
        <v>271</v>
      </c>
      <c r="D58" s="339" t="s">
        <v>210</v>
      </c>
      <c r="E58" s="337">
        <v>0.9</v>
      </c>
      <c r="F58" s="340">
        <v>156.99</v>
      </c>
      <c r="G58" s="340">
        <f t="shared" si="22"/>
        <v>193.69</v>
      </c>
      <c r="H58" s="340">
        <f t="shared" si="23"/>
        <v>174.32</v>
      </c>
      <c r="J58" s="327"/>
    </row>
    <row r="59" spans="1:10" ht="15" customHeight="1">
      <c r="A59" s="331"/>
      <c r="B59" s="337"/>
      <c r="C59" s="342" t="s">
        <v>304</v>
      </c>
      <c r="D59" s="339"/>
      <c r="E59" s="337"/>
      <c r="F59" s="340"/>
      <c r="G59" s="340"/>
      <c r="H59" s="340"/>
      <c r="J59" s="327"/>
    </row>
    <row r="60" spans="1:10" ht="21.75" customHeight="1">
      <c r="A60" s="331" t="s">
        <v>89</v>
      </c>
      <c r="B60" s="337" t="s">
        <v>249</v>
      </c>
      <c r="C60" s="341" t="s">
        <v>255</v>
      </c>
      <c r="D60" s="339" t="s">
        <v>233</v>
      </c>
      <c r="E60" s="337">
        <f>(1.6*2+3*2)*1.5+4.8</f>
        <v>18.599999999999998</v>
      </c>
      <c r="F60" s="340">
        <v>17.3</v>
      </c>
      <c r="G60" s="340">
        <f t="shared" ref="G60:G64" si="24">ROUNDDOWN(F60*(1+($H$13)),2)</f>
        <v>21.34</v>
      </c>
      <c r="H60" s="340">
        <f t="shared" ref="H60:H64" si="25">ROUNDDOWN(E60*G60,2)</f>
        <v>396.92</v>
      </c>
      <c r="J60" s="327"/>
    </row>
    <row r="61" spans="1:10" ht="45.75" customHeight="1">
      <c r="A61" s="331" t="s">
        <v>92</v>
      </c>
      <c r="B61" s="337" t="s">
        <v>265</v>
      </c>
      <c r="C61" s="341" t="s">
        <v>266</v>
      </c>
      <c r="D61" s="339" t="s">
        <v>233</v>
      </c>
      <c r="E61" s="337">
        <v>4.8</v>
      </c>
      <c r="F61" s="340">
        <v>41.65</v>
      </c>
      <c r="G61" s="340">
        <f t="shared" si="24"/>
        <v>51.38</v>
      </c>
      <c r="H61" s="340">
        <f t="shared" si="25"/>
        <v>246.62</v>
      </c>
      <c r="J61" s="327"/>
    </row>
    <row r="62" spans="1:10" ht="47.25" customHeight="1">
      <c r="A62" s="331" t="s">
        <v>95</v>
      </c>
      <c r="B62" s="337" t="s">
        <v>276</v>
      </c>
      <c r="C62" s="343" t="s">
        <v>295</v>
      </c>
      <c r="D62" s="339" t="s">
        <v>233</v>
      </c>
      <c r="E62" s="337">
        <f>(1.6*2+3*2)*1.5</f>
        <v>13.799999999999999</v>
      </c>
      <c r="F62" s="340">
        <v>66.069999999999993</v>
      </c>
      <c r="G62" s="340">
        <f t="shared" si="24"/>
        <v>81.510000000000005</v>
      </c>
      <c r="H62" s="340">
        <f t="shared" si="25"/>
        <v>1124.83</v>
      </c>
      <c r="J62" s="327"/>
    </row>
    <row r="63" spans="1:10" ht="18.75" customHeight="1">
      <c r="A63" s="331" t="s">
        <v>98</v>
      </c>
      <c r="B63" s="337" t="s">
        <v>250</v>
      </c>
      <c r="C63" s="341" t="s">
        <v>251</v>
      </c>
      <c r="D63" s="339" t="s">
        <v>233</v>
      </c>
      <c r="E63" s="337">
        <f>E60</f>
        <v>18.599999999999998</v>
      </c>
      <c r="F63" s="340">
        <v>28.89</v>
      </c>
      <c r="G63" s="340">
        <f t="shared" si="24"/>
        <v>35.64</v>
      </c>
      <c r="H63" s="340">
        <f t="shared" si="25"/>
        <v>662.9</v>
      </c>
      <c r="J63" s="327"/>
    </row>
    <row r="64" spans="1:10" ht="33" customHeight="1">
      <c r="A64" s="331" t="s">
        <v>297</v>
      </c>
      <c r="B64" s="337" t="s">
        <v>270</v>
      </c>
      <c r="C64" s="338" t="s">
        <v>271</v>
      </c>
      <c r="D64" s="339" t="s">
        <v>275</v>
      </c>
      <c r="E64" s="337">
        <v>0.9</v>
      </c>
      <c r="F64" s="340">
        <v>156.99</v>
      </c>
      <c r="G64" s="340">
        <f t="shared" si="24"/>
        <v>193.69</v>
      </c>
      <c r="H64" s="340">
        <f t="shared" si="25"/>
        <v>174.32</v>
      </c>
      <c r="J64" s="327"/>
    </row>
    <row r="65" spans="1:10" ht="48.75" customHeight="1">
      <c r="A65" s="331" t="s">
        <v>298</v>
      </c>
      <c r="B65" s="337" t="s">
        <v>267</v>
      </c>
      <c r="C65" s="338" t="s">
        <v>268</v>
      </c>
      <c r="D65" s="344" t="s">
        <v>252</v>
      </c>
      <c r="E65" s="337">
        <v>1</v>
      </c>
      <c r="F65" s="340">
        <v>175.88</v>
      </c>
      <c r="G65" s="340">
        <f>ROUNDDOWN(F65*(1+($H$13)),2)</f>
        <v>217</v>
      </c>
      <c r="H65" s="340">
        <f>ROUNDDOWN(E65*G65,2)</f>
        <v>217</v>
      </c>
      <c r="J65" s="327"/>
    </row>
    <row r="66" spans="1:10" ht="32.25" customHeight="1">
      <c r="A66" s="331" t="s">
        <v>299</v>
      </c>
      <c r="B66" s="337" t="s">
        <v>288</v>
      </c>
      <c r="C66" s="338" t="s">
        <v>289</v>
      </c>
      <c r="D66" s="339" t="s">
        <v>252</v>
      </c>
      <c r="E66" s="337">
        <v>1</v>
      </c>
      <c r="F66" s="340">
        <v>340.58</v>
      </c>
      <c r="G66" s="340">
        <f t="shared" ref="G66:G69" si="26">ROUNDDOWN(F66*(1+($H$13)),2)</f>
        <v>420.2</v>
      </c>
      <c r="H66" s="340">
        <f t="shared" ref="H66:H69" si="27">ROUNDDOWN(E66*G66,2)</f>
        <v>420.2</v>
      </c>
      <c r="J66" s="327"/>
    </row>
    <row r="67" spans="1:10" ht="15" customHeight="1">
      <c r="A67" s="331" t="s">
        <v>300</v>
      </c>
      <c r="B67" s="337" t="s">
        <v>290</v>
      </c>
      <c r="C67" s="338" t="s">
        <v>291</v>
      </c>
      <c r="D67" s="339" t="s">
        <v>252</v>
      </c>
      <c r="E67" s="337">
        <v>1</v>
      </c>
      <c r="F67" s="340">
        <v>215</v>
      </c>
      <c r="G67" s="340">
        <f t="shared" si="26"/>
        <v>265.26</v>
      </c>
      <c r="H67" s="340">
        <f t="shared" si="27"/>
        <v>265.26</v>
      </c>
      <c r="J67" s="327"/>
    </row>
    <row r="68" spans="1:10" ht="28.5" customHeight="1">
      <c r="A68" s="331" t="s">
        <v>301</v>
      </c>
      <c r="B68" s="337" t="s">
        <v>277</v>
      </c>
      <c r="C68" s="341" t="s">
        <v>278</v>
      </c>
      <c r="D68" s="339" t="s">
        <v>252</v>
      </c>
      <c r="E68" s="337">
        <v>1</v>
      </c>
      <c r="F68" s="340">
        <v>134.88</v>
      </c>
      <c r="G68" s="340">
        <f t="shared" si="26"/>
        <v>166.41</v>
      </c>
      <c r="H68" s="340">
        <f t="shared" si="27"/>
        <v>166.41</v>
      </c>
      <c r="J68" s="327"/>
    </row>
    <row r="69" spans="1:10" ht="44.25" customHeight="1">
      <c r="A69" s="331" t="s">
        <v>302</v>
      </c>
      <c r="B69" s="337" t="s">
        <v>279</v>
      </c>
      <c r="C69" s="341" t="s">
        <v>280</v>
      </c>
      <c r="D69" s="339" t="s">
        <v>252</v>
      </c>
      <c r="E69" s="337">
        <v>1</v>
      </c>
      <c r="F69" s="340">
        <v>150</v>
      </c>
      <c r="G69" s="340">
        <f t="shared" si="26"/>
        <v>185.07</v>
      </c>
      <c r="H69" s="340">
        <f t="shared" si="27"/>
        <v>185.07</v>
      </c>
      <c r="J69" s="327"/>
    </row>
    <row r="70" spans="1:10" ht="20.25" customHeight="1">
      <c r="A70" s="331" t="s">
        <v>303</v>
      </c>
      <c r="B70" s="337" t="s">
        <v>305</v>
      </c>
      <c r="C70" s="341" t="s">
        <v>306</v>
      </c>
      <c r="D70" s="339" t="s">
        <v>252</v>
      </c>
      <c r="E70" s="337">
        <v>1</v>
      </c>
      <c r="F70" s="340">
        <v>233.45</v>
      </c>
      <c r="G70" s="340">
        <f t="shared" ref="G70" si="28">ROUNDDOWN(F70*(1+($H$13)),2)</f>
        <v>288.02999999999997</v>
      </c>
      <c r="H70" s="340">
        <f t="shared" ref="H70" si="29">ROUNDDOWN(E70*G70,2)</f>
        <v>288.02999999999997</v>
      </c>
      <c r="I70" s="12">
        <f>SUM(H53:H70)</f>
        <v>11472.38</v>
      </c>
      <c r="J70" s="327"/>
    </row>
    <row r="71" spans="1:10" ht="15" customHeight="1">
      <c r="A71" s="331"/>
      <c r="B71" s="337"/>
      <c r="C71" s="341"/>
      <c r="D71" s="339"/>
      <c r="E71" s="337"/>
      <c r="F71" s="340"/>
      <c r="G71" s="340"/>
      <c r="H71" s="340"/>
      <c r="J71" s="327"/>
    </row>
    <row r="72" spans="1:10" ht="15" customHeight="1">
      <c r="A72" s="335" t="s">
        <v>315</v>
      </c>
      <c r="B72" s="337"/>
      <c r="C72" s="345" t="s">
        <v>314</v>
      </c>
      <c r="D72" s="339"/>
      <c r="E72" s="337"/>
      <c r="F72" s="340"/>
      <c r="G72" s="340"/>
      <c r="H72" s="340"/>
      <c r="J72" s="327"/>
    </row>
    <row r="73" spans="1:10" ht="15" customHeight="1">
      <c r="A73" s="331" t="s">
        <v>316</v>
      </c>
      <c r="B73" s="337" t="s">
        <v>249</v>
      </c>
      <c r="C73" s="341" t="s">
        <v>255</v>
      </c>
      <c r="D73" s="339" t="s">
        <v>233</v>
      </c>
      <c r="E73" s="337">
        <f>(1.99*2+1.96*2)*1.5+3.9</f>
        <v>15.750000000000002</v>
      </c>
      <c r="F73" s="340">
        <v>17.3</v>
      </c>
      <c r="G73" s="340">
        <f t="shared" ref="G73:G77" si="30">ROUNDDOWN(F73*(1+($H$13)),2)</f>
        <v>21.34</v>
      </c>
      <c r="H73" s="340">
        <f t="shared" ref="H73:H77" si="31">ROUNDDOWN(E73*G73,2)</f>
        <v>336.1</v>
      </c>
      <c r="J73" s="327"/>
    </row>
    <row r="74" spans="1:10" ht="47.25" customHeight="1">
      <c r="A74" s="331" t="s">
        <v>317</v>
      </c>
      <c r="B74" s="337" t="s">
        <v>265</v>
      </c>
      <c r="C74" s="341" t="s">
        <v>266</v>
      </c>
      <c r="D74" s="339" t="s">
        <v>233</v>
      </c>
      <c r="E74" s="337">
        <v>3.9</v>
      </c>
      <c r="F74" s="340">
        <v>41.65</v>
      </c>
      <c r="G74" s="340">
        <f t="shared" si="30"/>
        <v>51.38</v>
      </c>
      <c r="H74" s="340">
        <f t="shared" si="31"/>
        <v>200.38</v>
      </c>
      <c r="J74" s="327"/>
    </row>
    <row r="75" spans="1:10" ht="46.5" customHeight="1">
      <c r="A75" s="331" t="s">
        <v>318</v>
      </c>
      <c r="B75" s="337" t="s">
        <v>276</v>
      </c>
      <c r="C75" s="343" t="s">
        <v>295</v>
      </c>
      <c r="D75" s="339" t="s">
        <v>233</v>
      </c>
      <c r="E75" s="337">
        <f>(1.99*2+1.96*2)*1.5</f>
        <v>11.850000000000001</v>
      </c>
      <c r="F75" s="340">
        <v>66.069999999999993</v>
      </c>
      <c r="G75" s="340">
        <f t="shared" si="30"/>
        <v>81.510000000000005</v>
      </c>
      <c r="H75" s="340">
        <f t="shared" si="31"/>
        <v>965.89</v>
      </c>
      <c r="J75" s="327"/>
    </row>
    <row r="76" spans="1:10" ht="15" customHeight="1">
      <c r="A76" s="331" t="s">
        <v>319</v>
      </c>
      <c r="B76" s="337" t="s">
        <v>250</v>
      </c>
      <c r="C76" s="341" t="s">
        <v>251</v>
      </c>
      <c r="D76" s="339" t="s">
        <v>233</v>
      </c>
      <c r="E76" s="337">
        <f>E73</f>
        <v>15.750000000000002</v>
      </c>
      <c r="F76" s="340">
        <v>28.89</v>
      </c>
      <c r="G76" s="340">
        <f t="shared" si="30"/>
        <v>35.64</v>
      </c>
      <c r="H76" s="340">
        <f t="shared" si="31"/>
        <v>561.33000000000004</v>
      </c>
      <c r="J76" s="327"/>
    </row>
    <row r="77" spans="1:10" ht="31.5" customHeight="1">
      <c r="A77" s="331" t="s">
        <v>320</v>
      </c>
      <c r="B77" s="337" t="s">
        <v>270</v>
      </c>
      <c r="C77" s="338" t="s">
        <v>271</v>
      </c>
      <c r="D77" s="339" t="s">
        <v>275</v>
      </c>
      <c r="E77" s="337">
        <v>0.9</v>
      </c>
      <c r="F77" s="340">
        <v>156.99</v>
      </c>
      <c r="G77" s="340">
        <f t="shared" si="30"/>
        <v>193.69</v>
      </c>
      <c r="H77" s="340">
        <f t="shared" si="31"/>
        <v>174.32</v>
      </c>
      <c r="J77" s="327"/>
    </row>
    <row r="78" spans="1:10" ht="44.25" customHeight="1">
      <c r="A78" s="331" t="s">
        <v>321</v>
      </c>
      <c r="B78" s="337" t="s">
        <v>267</v>
      </c>
      <c r="C78" s="338" t="s">
        <v>268</v>
      </c>
      <c r="D78" s="344" t="s">
        <v>252</v>
      </c>
      <c r="E78" s="337">
        <v>1</v>
      </c>
      <c r="F78" s="340">
        <v>175.88</v>
      </c>
      <c r="G78" s="340">
        <f>ROUNDDOWN(F78*(1+($H$13)),2)</f>
        <v>217</v>
      </c>
      <c r="H78" s="340">
        <f>ROUNDDOWN(E78*G78,2)</f>
        <v>217</v>
      </c>
      <c r="J78" s="327"/>
    </row>
    <row r="79" spans="1:10" ht="30" customHeight="1">
      <c r="A79" s="331" t="s">
        <v>322</v>
      </c>
      <c r="B79" s="337" t="s">
        <v>288</v>
      </c>
      <c r="C79" s="338" t="s">
        <v>289</v>
      </c>
      <c r="D79" s="339" t="s">
        <v>252</v>
      </c>
      <c r="E79" s="337">
        <v>1</v>
      </c>
      <c r="F79" s="340">
        <v>340.58</v>
      </c>
      <c r="G79" s="340">
        <f t="shared" ref="G79:G83" si="32">ROUNDDOWN(F79*(1+($H$13)),2)</f>
        <v>420.2</v>
      </c>
      <c r="H79" s="340">
        <f t="shared" ref="H79:H83" si="33">ROUNDDOWN(E79*G79,2)</f>
        <v>420.2</v>
      </c>
      <c r="J79" s="327"/>
    </row>
    <row r="80" spans="1:10" ht="15" customHeight="1">
      <c r="A80" s="331" t="s">
        <v>323</v>
      </c>
      <c r="B80" s="337" t="s">
        <v>290</v>
      </c>
      <c r="C80" s="338" t="s">
        <v>291</v>
      </c>
      <c r="D80" s="339" t="s">
        <v>252</v>
      </c>
      <c r="E80" s="337">
        <v>1</v>
      </c>
      <c r="F80" s="340">
        <v>215</v>
      </c>
      <c r="G80" s="340">
        <f t="shared" si="32"/>
        <v>265.26</v>
      </c>
      <c r="H80" s="340">
        <f t="shared" si="33"/>
        <v>265.26</v>
      </c>
      <c r="J80" s="327"/>
    </row>
    <row r="81" spans="1:10" ht="34.5" customHeight="1">
      <c r="A81" s="331" t="s">
        <v>324</v>
      </c>
      <c r="B81" s="337" t="s">
        <v>277</v>
      </c>
      <c r="C81" s="341" t="s">
        <v>278</v>
      </c>
      <c r="D81" s="339" t="s">
        <v>252</v>
      </c>
      <c r="E81" s="337">
        <v>1</v>
      </c>
      <c r="F81" s="340">
        <v>134.88</v>
      </c>
      <c r="G81" s="340">
        <f t="shared" si="32"/>
        <v>166.41</v>
      </c>
      <c r="H81" s="340">
        <f t="shared" si="33"/>
        <v>166.41</v>
      </c>
      <c r="J81" s="327"/>
    </row>
    <row r="82" spans="1:10" ht="49.5" customHeight="1">
      <c r="A82" s="331" t="s">
        <v>325</v>
      </c>
      <c r="B82" s="337" t="s">
        <v>279</v>
      </c>
      <c r="C82" s="341" t="s">
        <v>280</v>
      </c>
      <c r="D82" s="339" t="s">
        <v>252</v>
      </c>
      <c r="E82" s="337">
        <v>1</v>
      </c>
      <c r="F82" s="340">
        <v>150</v>
      </c>
      <c r="G82" s="340">
        <f t="shared" si="32"/>
        <v>185.07</v>
      </c>
      <c r="H82" s="340">
        <f t="shared" si="33"/>
        <v>185.07</v>
      </c>
      <c r="J82" s="327"/>
    </row>
    <row r="83" spans="1:10" ht="16.5" customHeight="1">
      <c r="A83" s="331" t="s">
        <v>326</v>
      </c>
      <c r="B83" s="337" t="s">
        <v>305</v>
      </c>
      <c r="C83" s="341" t="s">
        <v>306</v>
      </c>
      <c r="D83" s="339" t="s">
        <v>252</v>
      </c>
      <c r="E83" s="337">
        <v>1</v>
      </c>
      <c r="F83" s="340">
        <v>233.45</v>
      </c>
      <c r="G83" s="340">
        <f t="shared" si="32"/>
        <v>288.02999999999997</v>
      </c>
      <c r="H83" s="340">
        <f t="shared" si="33"/>
        <v>288.02999999999997</v>
      </c>
      <c r="I83" s="12">
        <f>SUM(H73:H83)</f>
        <v>3779.99</v>
      </c>
      <c r="J83" s="327"/>
    </row>
    <row r="84" spans="1:10" ht="16.5" customHeight="1">
      <c r="A84" s="331"/>
      <c r="B84" s="337"/>
      <c r="C84" s="341"/>
      <c r="D84" s="339"/>
      <c r="E84" s="337"/>
      <c r="F84" s="340"/>
      <c r="G84" s="340"/>
      <c r="H84" s="340"/>
      <c r="J84" s="327"/>
    </row>
    <row r="85" spans="1:10" ht="16.5" customHeight="1">
      <c r="A85" s="335" t="s">
        <v>327</v>
      </c>
      <c r="B85" s="337"/>
      <c r="C85" s="345" t="s">
        <v>328</v>
      </c>
      <c r="D85" s="339"/>
      <c r="E85" s="337"/>
      <c r="F85" s="340"/>
      <c r="G85" s="340"/>
      <c r="H85" s="340"/>
      <c r="J85" s="327"/>
    </row>
    <row r="86" spans="1:10" ht="16.5" customHeight="1">
      <c r="A86" s="346" t="s">
        <v>316</v>
      </c>
      <c r="B86" s="347" t="s">
        <v>329</v>
      </c>
      <c r="C86" s="348" t="s">
        <v>330</v>
      </c>
      <c r="D86" s="349" t="s">
        <v>233</v>
      </c>
      <c r="E86" s="347">
        <v>5</v>
      </c>
      <c r="F86" s="350">
        <v>50.3</v>
      </c>
      <c r="G86" s="350">
        <f t="shared" ref="G86" si="34">ROUNDDOWN(F86*(1+($H$13)),2)</f>
        <v>62.06</v>
      </c>
      <c r="H86" s="350">
        <f t="shared" ref="H86" si="35">ROUNDDOWN(E86*G86,2)</f>
        <v>310.3</v>
      </c>
      <c r="J86" s="327"/>
    </row>
    <row r="87" spans="1:10" ht="11.25" customHeight="1"/>
    <row r="88" spans="1:10" ht="15.75" customHeight="1">
      <c r="A88" s="95"/>
      <c r="B88" s="96"/>
      <c r="C88" s="359" t="s">
        <v>101</v>
      </c>
      <c r="D88" s="360"/>
      <c r="E88" s="360"/>
      <c r="F88" s="320">
        <f>H13</f>
        <v>0.23380000000000001</v>
      </c>
      <c r="G88" s="72"/>
      <c r="H88" s="97">
        <f>SUM(H20:H86)</f>
        <v>29042.529999999992</v>
      </c>
    </row>
    <row r="89" spans="1:10">
      <c r="G89" s="321" t="s">
        <v>253</v>
      </c>
    </row>
    <row r="91" spans="1:10">
      <c r="D91" s="60"/>
      <c r="E91" s="60"/>
      <c r="F91" s="60"/>
      <c r="H91" s="329"/>
    </row>
    <row r="92" spans="1:10">
      <c r="D92" s="60"/>
      <c r="E92" s="60"/>
      <c r="F92" s="60"/>
      <c r="H92" s="60"/>
    </row>
    <row r="93" spans="1:10" ht="21" customHeight="1">
      <c r="C93" s="92" t="str">
        <f>memorial!C35</f>
        <v>Eng.º Edson Luiz da Silva</v>
      </c>
      <c r="D93" s="92"/>
      <c r="E93" s="92" t="str">
        <f>memorial!E35</f>
        <v>Christian Fuziki Ikeda</v>
      </c>
      <c r="F93" s="92"/>
      <c r="G93" s="60"/>
      <c r="H93" s="60"/>
    </row>
    <row r="94" spans="1:10" ht="21" customHeight="1">
      <c r="C94" s="351" t="str">
        <f>memorial!C36</f>
        <v>CREA 5060740530/D</v>
      </c>
      <c r="D94" s="92"/>
      <c r="E94" s="352" t="str">
        <f>memorial!E36</f>
        <v>Prefeito</v>
      </c>
      <c r="F94" s="92"/>
      <c r="G94" s="61"/>
    </row>
    <row r="95" spans="1:10" ht="18.75">
      <c r="C95" s="352"/>
      <c r="D95" s="92"/>
      <c r="E95" s="92"/>
      <c r="F95" s="92"/>
      <c r="G95" s="61"/>
      <c r="H95" s="316"/>
    </row>
  </sheetData>
  <mergeCells count="10">
    <mergeCell ref="A11:E11"/>
    <mergeCell ref="C88:E88"/>
    <mergeCell ref="C18:E18"/>
    <mergeCell ref="G15:H15"/>
    <mergeCell ref="F16:H16"/>
    <mergeCell ref="A16:A17"/>
    <mergeCell ref="B16:B17"/>
    <mergeCell ref="C16:C17"/>
    <mergeCell ref="D16:D17"/>
    <mergeCell ref="E16:E17"/>
  </mergeCells>
  <pageMargins left="0.51181102362204722" right="0.11811023622047245" top="0.39370078740157483" bottom="0.59055118110236227" header="0.51181102362204722" footer="0.51181102362204722"/>
  <pageSetup paperSize="9" scale="77" firstPageNumber="0" orientation="landscape" r:id="rId1"/>
  <headerFooter>
    <oddFooter>&amp;R&amp;P</oddFooter>
  </headerFooter>
  <rowBreaks count="4" manualBreakCount="4">
    <brk id="36" max="7" man="1"/>
    <brk id="51" max="7" man="1"/>
    <brk id="66" max="7" man="1"/>
    <brk id="83" max="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9:I39"/>
  <sheetViews>
    <sheetView view="pageBreakPreview" topLeftCell="A4" workbookViewId="0">
      <selection activeCell="J31" sqref="J31"/>
    </sheetView>
  </sheetViews>
  <sheetFormatPr defaultRowHeight="15"/>
  <cols>
    <col min="1" max="1" width="4.85546875" customWidth="1"/>
    <col min="2" max="2" width="32.85546875" customWidth="1"/>
    <col min="3" max="3" width="12.28515625" customWidth="1"/>
    <col min="4" max="4" width="12.140625" customWidth="1"/>
    <col min="5" max="5" width="10.5703125" customWidth="1"/>
    <col min="6" max="6" width="12.42578125" customWidth="1"/>
    <col min="7" max="7" width="14.42578125" customWidth="1"/>
    <col min="8" max="8" width="3.85546875" customWidth="1"/>
    <col min="9" max="9" width="10.42578125" customWidth="1"/>
    <col min="10" max="1025" width="8.7109375" customWidth="1"/>
  </cols>
  <sheetData>
    <row r="9" spans="1:9" ht="18">
      <c r="A9" s="381" t="s">
        <v>118</v>
      </c>
      <c r="B9" s="381"/>
      <c r="C9" s="381"/>
      <c r="D9" s="381"/>
      <c r="E9" s="381"/>
      <c r="F9" s="381"/>
      <c r="G9" s="381"/>
      <c r="H9" s="381"/>
      <c r="I9" s="381"/>
    </row>
    <row r="10" spans="1:9" ht="15" customHeight="1">
      <c r="A10" s="382" t="s">
        <v>119</v>
      </c>
      <c r="B10" s="382"/>
      <c r="C10" s="382"/>
      <c r="D10" s="62"/>
      <c r="E10" s="62"/>
      <c r="F10" s="383" t="s">
        <v>120</v>
      </c>
      <c r="G10" s="383"/>
      <c r="H10" s="383"/>
      <c r="I10" s="99" t="s">
        <v>121</v>
      </c>
    </row>
    <row r="11" spans="1:9" ht="30.75" customHeight="1">
      <c r="A11" s="382"/>
      <c r="B11" s="382"/>
      <c r="C11" s="382"/>
      <c r="D11" s="62"/>
      <c r="E11" s="62"/>
      <c r="F11" s="384" t="s">
        <v>122</v>
      </c>
      <c r="G11" s="384"/>
      <c r="H11" s="384"/>
      <c r="I11" s="100">
        <v>40969</v>
      </c>
    </row>
    <row r="13" spans="1:9" ht="15" customHeight="1">
      <c r="A13" s="385" t="s">
        <v>123</v>
      </c>
      <c r="B13" s="385"/>
      <c r="C13" s="385"/>
      <c r="D13" s="385"/>
      <c r="E13" s="101"/>
      <c r="F13" s="371" t="s">
        <v>124</v>
      </c>
      <c r="G13" s="371"/>
      <c r="H13" s="371"/>
      <c r="I13" s="371"/>
    </row>
    <row r="14" spans="1:9">
      <c r="A14" s="385"/>
      <c r="B14" s="385"/>
      <c r="C14" s="385"/>
      <c r="D14" s="385"/>
      <c r="E14" s="101"/>
      <c r="F14" s="386" t="s">
        <v>125</v>
      </c>
      <c r="G14" s="386"/>
      <c r="H14" s="386"/>
      <c r="I14" s="386"/>
    </row>
    <row r="15" spans="1:9" ht="29.25" customHeight="1">
      <c r="F15" s="376" t="s">
        <v>126</v>
      </c>
      <c r="G15" s="376"/>
      <c r="H15" s="376"/>
      <c r="I15" s="376"/>
    </row>
    <row r="16" spans="1:9" ht="15" customHeight="1">
      <c r="A16" s="99" t="s">
        <v>127</v>
      </c>
      <c r="B16" s="102" t="s">
        <v>128</v>
      </c>
      <c r="C16" s="103" t="s">
        <v>129</v>
      </c>
      <c r="D16" s="377" t="s">
        <v>130</v>
      </c>
      <c r="E16" s="377"/>
      <c r="F16" s="378"/>
      <c r="G16" s="378"/>
      <c r="H16" s="379" t="s">
        <v>131</v>
      </c>
      <c r="I16" s="379"/>
    </row>
    <row r="17" spans="1:9" ht="15" customHeight="1">
      <c r="B17" s="105"/>
      <c r="C17" s="106"/>
      <c r="D17" s="107" t="s">
        <v>132</v>
      </c>
      <c r="E17" s="108"/>
      <c r="F17" s="107"/>
      <c r="G17" s="62"/>
      <c r="H17" s="109"/>
      <c r="I17" s="106"/>
    </row>
    <row r="18" spans="1:9" ht="89.25" customHeight="1">
      <c r="A18" s="110"/>
      <c r="B18" s="111"/>
      <c r="C18" s="112"/>
      <c r="D18" s="113" t="s">
        <v>133</v>
      </c>
      <c r="E18" s="113" t="s">
        <v>134</v>
      </c>
      <c r="F18" s="113"/>
      <c r="G18" s="114"/>
      <c r="H18" s="115"/>
      <c r="I18" s="112"/>
    </row>
    <row r="19" spans="1:9" ht="14.25" customHeight="1">
      <c r="A19" s="354" t="s">
        <v>135</v>
      </c>
      <c r="B19" s="380" t="str">
        <f>ORÇ.ORIGINAL!C16</f>
        <v>INFRA ESTRUTURA</v>
      </c>
      <c r="C19" s="116" t="s">
        <v>136</v>
      </c>
      <c r="D19" s="374">
        <v>100</v>
      </c>
      <c r="E19" s="374"/>
      <c r="F19" s="374"/>
      <c r="G19" s="374"/>
      <c r="H19" s="374"/>
      <c r="I19" s="374"/>
    </row>
    <row r="20" spans="1:9" ht="14.25" customHeight="1">
      <c r="A20" s="354"/>
      <c r="B20" s="380"/>
      <c r="C20" s="116" t="s">
        <v>137</v>
      </c>
      <c r="D20" s="374" t="e">
        <f>ORÇ!#REF!</f>
        <v>#REF!</v>
      </c>
      <c r="E20" s="374"/>
      <c r="F20" s="374"/>
      <c r="G20" s="374"/>
      <c r="H20" s="374" t="e">
        <f>D20</f>
        <v>#REF!</v>
      </c>
      <c r="I20" s="374"/>
    </row>
    <row r="21" spans="1:9" ht="14.25" customHeight="1">
      <c r="A21" s="354" t="s">
        <v>138</v>
      </c>
      <c r="B21" s="373" t="str">
        <f>ORÇ.ORIGINAL!C20</f>
        <v>TUBOS EM CONCRETO</v>
      </c>
      <c r="C21" s="116" t="s">
        <v>139</v>
      </c>
      <c r="D21" s="374" t="e">
        <f>ORÇ!#REF!+ORÇ!#REF!</f>
        <v>#REF!</v>
      </c>
      <c r="E21" s="374"/>
      <c r="F21" s="374"/>
      <c r="G21" s="374"/>
      <c r="H21" s="374"/>
      <c r="I21" s="374"/>
    </row>
    <row r="22" spans="1:9" ht="14.25" customHeight="1">
      <c r="A22" s="354"/>
      <c r="B22" s="373"/>
      <c r="C22" s="116" t="s">
        <v>137</v>
      </c>
      <c r="D22" s="374" t="e">
        <f>ORÇ!#REF!</f>
        <v>#REF!</v>
      </c>
      <c r="E22" s="374"/>
      <c r="F22" s="374"/>
      <c r="G22" s="374"/>
      <c r="H22" s="374" t="e">
        <f>D22</f>
        <v>#REF!</v>
      </c>
      <c r="I22" s="374"/>
    </row>
    <row r="23" spans="1:9" ht="14.25" customHeight="1">
      <c r="A23" s="354" t="s">
        <v>140</v>
      </c>
      <c r="B23" s="373" t="str">
        <f>ORÇ.ORIGINAL!C23</f>
        <v>BOCAS DE LOBO, PV's</v>
      </c>
      <c r="C23" s="116" t="s">
        <v>141</v>
      </c>
      <c r="D23" s="374" t="e">
        <f>ORÇ!#REF!+ORÇ!#REF!</f>
        <v>#REF!</v>
      </c>
      <c r="E23" s="374"/>
      <c r="F23" s="374"/>
      <c r="G23" s="374"/>
      <c r="H23" s="374"/>
      <c r="I23" s="374"/>
    </row>
    <row r="24" spans="1:9" ht="14.25" customHeight="1">
      <c r="A24" s="354"/>
      <c r="B24" s="373"/>
      <c r="C24" s="116" t="s">
        <v>137</v>
      </c>
      <c r="D24" s="374" t="e">
        <f>ORÇ!#REF!</f>
        <v>#REF!</v>
      </c>
      <c r="E24" s="374"/>
      <c r="F24" s="117"/>
      <c r="G24" s="118"/>
      <c r="H24" s="375" t="e">
        <f>D24</f>
        <v>#REF!</v>
      </c>
      <c r="I24" s="375"/>
    </row>
    <row r="25" spans="1:9" ht="14.25" customHeight="1">
      <c r="A25" s="354" t="s">
        <v>142</v>
      </c>
      <c r="B25" s="373" t="str">
        <f>ORÇ.ORIGINAL!C26</f>
        <v>PAVIMENTAÇÃO</v>
      </c>
      <c r="C25" s="116" t="s">
        <v>141</v>
      </c>
      <c r="D25" s="374" t="e">
        <f>ORÇ!#REF!</f>
        <v>#REF!</v>
      </c>
      <c r="E25" s="374"/>
      <c r="F25" s="117"/>
      <c r="G25" s="119"/>
      <c r="H25" s="374"/>
      <c r="I25" s="374"/>
    </row>
    <row r="26" spans="1:9" ht="14.25" customHeight="1">
      <c r="A26" s="354"/>
      <c r="B26" s="373"/>
      <c r="C26" s="116" t="s">
        <v>137</v>
      </c>
      <c r="D26" s="374" t="e">
        <f>ORÇ!#REF!</f>
        <v>#REF!</v>
      </c>
      <c r="E26" s="374"/>
      <c r="F26" s="117"/>
      <c r="G26" s="119"/>
      <c r="H26" s="375" t="e">
        <f>D26</f>
        <v>#REF!</v>
      </c>
      <c r="I26" s="375"/>
    </row>
    <row r="27" spans="1:9" ht="14.25" customHeight="1">
      <c r="A27" s="354"/>
      <c r="B27" s="373"/>
      <c r="C27" s="116"/>
      <c r="D27" s="374"/>
      <c r="E27" s="374"/>
      <c r="H27" s="374"/>
      <c r="I27" s="374"/>
    </row>
    <row r="28" spans="1:9" ht="14.25" customHeight="1">
      <c r="A28" s="354"/>
      <c r="B28" s="373"/>
      <c r="C28" s="116"/>
      <c r="D28" s="374"/>
      <c r="E28" s="374"/>
      <c r="F28" s="374"/>
      <c r="G28" s="374"/>
      <c r="H28" s="375"/>
      <c r="I28" s="375"/>
    </row>
    <row r="29" spans="1:9" ht="14.25" customHeight="1">
      <c r="A29" s="371" t="s">
        <v>143</v>
      </c>
      <c r="B29" s="371"/>
      <c r="C29" s="104" t="s">
        <v>137</v>
      </c>
      <c r="D29" s="372">
        <v>150000</v>
      </c>
      <c r="E29" s="372"/>
      <c r="F29" s="372"/>
      <c r="G29" s="372"/>
      <c r="H29" s="372">
        <f>D29</f>
        <v>150000</v>
      </c>
      <c r="I29" s="372"/>
    </row>
    <row r="30" spans="1:9" ht="14.25" customHeight="1">
      <c r="A30" s="371" t="s">
        <v>144</v>
      </c>
      <c r="B30" s="371"/>
      <c r="C30" s="104" t="s">
        <v>137</v>
      </c>
      <c r="D30" s="372" t="e">
        <f>D31-D29</f>
        <v>#REF!</v>
      </c>
      <c r="E30" s="372"/>
      <c r="F30" s="372"/>
      <c r="G30" s="372"/>
      <c r="H30" s="372" t="e">
        <f>D30</f>
        <v>#REF!</v>
      </c>
      <c r="I30" s="372"/>
    </row>
    <row r="31" spans="1:9">
      <c r="A31" s="371" t="s">
        <v>131</v>
      </c>
      <c r="B31" s="371"/>
      <c r="C31" s="104" t="s">
        <v>137</v>
      </c>
      <c r="D31" s="372" t="e">
        <f>SUM(D20+D22+D24+D26)</f>
        <v>#REF!</v>
      </c>
      <c r="E31" s="372"/>
      <c r="F31" s="372"/>
      <c r="G31" s="372"/>
      <c r="H31" s="372" t="e">
        <f>SUM(H29:I30)</f>
        <v>#REF!</v>
      </c>
      <c r="I31" s="372"/>
    </row>
    <row r="32" spans="1:9">
      <c r="A32" s="120"/>
      <c r="B32" s="120"/>
      <c r="C32" s="65"/>
      <c r="D32" s="121"/>
      <c r="E32" t="str">
        <f>ORÇ!G89</f>
        <v>EUCLIDES DA CUNHA PTA, 19 DE NOVEMBRO DE 2019.</v>
      </c>
      <c r="F32" s="122"/>
      <c r="G32" s="122"/>
      <c r="H32" s="122"/>
      <c r="I32" s="122"/>
    </row>
    <row r="36" spans="2:9">
      <c r="B36" s="123"/>
      <c r="F36" s="123"/>
      <c r="G36" s="123"/>
      <c r="H36" s="123"/>
      <c r="I36" s="123"/>
    </row>
    <row r="37" spans="2:9">
      <c r="B37" s="62" t="s">
        <v>145</v>
      </c>
      <c r="F37" s="62" t="s">
        <v>146</v>
      </c>
    </row>
    <row r="38" spans="2:9">
      <c r="B38" s="62" t="s">
        <v>147</v>
      </c>
      <c r="F38" s="62" t="s">
        <v>116</v>
      </c>
      <c r="G38" s="65"/>
    </row>
    <row r="39" spans="2:9">
      <c r="B39" s="62" t="s">
        <v>148</v>
      </c>
      <c r="G39" s="65"/>
    </row>
  </sheetData>
  <mergeCells count="59">
    <mergeCell ref="A9:I9"/>
    <mergeCell ref="A10:C11"/>
    <mergeCell ref="F10:H10"/>
    <mergeCell ref="F11:H11"/>
    <mergeCell ref="A13:D14"/>
    <mergeCell ref="F13:I13"/>
    <mergeCell ref="F14:I14"/>
    <mergeCell ref="F15:I15"/>
    <mergeCell ref="D16:E16"/>
    <mergeCell ref="F16:G16"/>
    <mergeCell ref="H16:I16"/>
    <mergeCell ref="A19:A20"/>
    <mergeCell ref="B19:B20"/>
    <mergeCell ref="D19:E19"/>
    <mergeCell ref="F19:G19"/>
    <mergeCell ref="H19:I19"/>
    <mergeCell ref="D20:E20"/>
    <mergeCell ref="F20:G20"/>
    <mergeCell ref="H20:I20"/>
    <mergeCell ref="A21:A22"/>
    <mergeCell ref="B21:B22"/>
    <mergeCell ref="D21:E21"/>
    <mergeCell ref="F21:G21"/>
    <mergeCell ref="H21:I21"/>
    <mergeCell ref="D22:E22"/>
    <mergeCell ref="F22:G22"/>
    <mergeCell ref="H22:I22"/>
    <mergeCell ref="A23:A24"/>
    <mergeCell ref="B23:B24"/>
    <mergeCell ref="D23:E23"/>
    <mergeCell ref="F23:G23"/>
    <mergeCell ref="H23:I23"/>
    <mergeCell ref="D24:E24"/>
    <mergeCell ref="H24:I24"/>
    <mergeCell ref="A25:A26"/>
    <mergeCell ref="B25:B26"/>
    <mergeCell ref="D25:E25"/>
    <mergeCell ref="H25:I25"/>
    <mergeCell ref="D26:E26"/>
    <mergeCell ref="H26:I26"/>
    <mergeCell ref="A27:A28"/>
    <mergeCell ref="B27:B28"/>
    <mergeCell ref="D27:E27"/>
    <mergeCell ref="H27:I27"/>
    <mergeCell ref="D28:E28"/>
    <mergeCell ref="F28:G28"/>
    <mergeCell ref="H28:I28"/>
    <mergeCell ref="A31:B31"/>
    <mergeCell ref="D31:E31"/>
    <mergeCell ref="F31:G31"/>
    <mergeCell ref="H31:I31"/>
    <mergeCell ref="A29:B29"/>
    <mergeCell ref="D29:E29"/>
    <mergeCell ref="F29:G29"/>
    <mergeCell ref="H29:I29"/>
    <mergeCell ref="A30:B30"/>
    <mergeCell ref="D30:E30"/>
    <mergeCell ref="F30:G30"/>
    <mergeCell ref="H30:I30"/>
  </mergeCells>
  <printOptions horizontalCentered="1"/>
  <pageMargins left="0" right="0" top="0.39374999999999999" bottom="0.196527777777778" header="0.51180555555555496" footer="0.51180555555555496"/>
  <pageSetup paperSize="9" firstPageNumber="0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7:L30"/>
  <sheetViews>
    <sheetView tabSelected="1" view="pageBreakPreview" workbookViewId="0">
      <selection activeCell="A25" sqref="A25"/>
    </sheetView>
  </sheetViews>
  <sheetFormatPr defaultRowHeight="15"/>
  <cols>
    <col min="1" max="1" width="14.140625" customWidth="1"/>
    <col min="2" max="2" width="35.42578125" customWidth="1"/>
    <col min="3" max="3" width="8" customWidth="1"/>
    <col min="4" max="4" width="13.85546875" customWidth="1"/>
    <col min="5" max="5" width="9.140625" customWidth="1"/>
    <col min="6" max="6" width="14.42578125" customWidth="1"/>
    <col min="7" max="7" width="9" customWidth="1"/>
    <col min="8" max="8" width="13.140625" customWidth="1"/>
    <col min="9" max="9" width="8" customWidth="1"/>
    <col min="10" max="10" width="14.140625" customWidth="1"/>
    <col min="11" max="11" width="8.140625" customWidth="1"/>
    <col min="12" max="12" width="15.42578125" customWidth="1"/>
    <col min="13" max="1025" width="8.7109375" customWidth="1"/>
  </cols>
  <sheetData>
    <row r="7" spans="1:12" ht="18">
      <c r="A7" s="124"/>
      <c r="B7" s="124"/>
      <c r="C7" s="124" t="s">
        <v>149</v>
      </c>
      <c r="D7" s="124"/>
      <c r="E7" s="124"/>
      <c r="F7" s="124"/>
      <c r="G7" s="124"/>
      <c r="H7" s="124"/>
      <c r="I7" s="124"/>
      <c r="J7" s="124"/>
      <c r="K7" s="124"/>
      <c r="L7" s="124"/>
    </row>
    <row r="8" spans="1:12" ht="20.100000000000001" customHeight="1" thickTop="1">
      <c r="A8" s="125" t="s">
        <v>150</v>
      </c>
      <c r="B8" s="126" t="s">
        <v>151</v>
      </c>
      <c r="C8" s="127"/>
      <c r="D8" s="128"/>
      <c r="E8" s="129"/>
      <c r="F8" s="387" t="s">
        <v>152</v>
      </c>
      <c r="G8" s="387"/>
      <c r="H8" s="126" t="s">
        <v>153</v>
      </c>
      <c r="I8" s="127"/>
      <c r="J8" s="127"/>
      <c r="K8" s="127"/>
      <c r="L8" s="127"/>
    </row>
    <row r="9" spans="1:12" ht="20.100000000000001" customHeight="1">
      <c r="A9" s="130" t="s">
        <v>154</v>
      </c>
      <c r="B9" s="131" t="str">
        <f>ORÇ!A9</f>
        <v>CENTRO DE SAÚDE</v>
      </c>
      <c r="C9" s="132"/>
      <c r="D9" s="133"/>
      <c r="E9" s="134"/>
      <c r="F9" s="388" t="s">
        <v>155</v>
      </c>
      <c r="G9" s="388"/>
      <c r="H9" s="403" t="s">
        <v>331</v>
      </c>
      <c r="I9" s="404"/>
      <c r="J9" s="404"/>
      <c r="K9" s="404"/>
      <c r="L9" s="404"/>
    </row>
    <row r="10" spans="1:12" ht="20.100000000000001" customHeight="1" thickBot="1">
      <c r="A10" s="135" t="s">
        <v>156</v>
      </c>
      <c r="B10" s="389"/>
      <c r="C10" s="389"/>
      <c r="D10" s="390"/>
      <c r="E10" s="390"/>
      <c r="F10" s="391"/>
      <c r="G10" s="391"/>
      <c r="H10" s="405"/>
      <c r="I10" s="406"/>
      <c r="J10" s="406"/>
      <c r="K10" s="406"/>
      <c r="L10" s="406"/>
    </row>
    <row r="11" spans="1:12" ht="16.5" thickTop="1" thickBot="1">
      <c r="A11" s="136"/>
      <c r="B11" s="137"/>
      <c r="C11" s="138"/>
      <c r="D11" s="139">
        <v>30</v>
      </c>
      <c r="E11" s="140" t="s">
        <v>136</v>
      </c>
      <c r="F11" s="139">
        <v>60</v>
      </c>
      <c r="G11" s="140" t="s">
        <v>136</v>
      </c>
      <c r="H11" s="139">
        <v>90</v>
      </c>
      <c r="I11" s="140" t="s">
        <v>136</v>
      </c>
      <c r="J11" s="139">
        <v>120</v>
      </c>
      <c r="K11" s="140" t="s">
        <v>136</v>
      </c>
      <c r="L11" s="141" t="s">
        <v>157</v>
      </c>
    </row>
    <row r="12" spans="1:12">
      <c r="A12" s="142" t="s">
        <v>127</v>
      </c>
      <c r="B12" s="143" t="s">
        <v>128</v>
      </c>
      <c r="C12" s="143" t="s">
        <v>158</v>
      </c>
      <c r="D12" s="143" t="s">
        <v>159</v>
      </c>
      <c r="E12" s="143" t="s">
        <v>160</v>
      </c>
      <c r="F12" s="143" t="s">
        <v>161</v>
      </c>
      <c r="G12" s="143" t="s">
        <v>160</v>
      </c>
      <c r="H12" s="143" t="s">
        <v>162</v>
      </c>
      <c r="I12" s="143" t="s">
        <v>160</v>
      </c>
      <c r="J12" s="143" t="s">
        <v>163</v>
      </c>
      <c r="K12" s="143" t="s">
        <v>160</v>
      </c>
      <c r="L12" s="144" t="s">
        <v>164</v>
      </c>
    </row>
    <row r="13" spans="1:12">
      <c r="A13" s="145"/>
      <c r="B13" s="146"/>
      <c r="C13" s="146"/>
      <c r="D13" s="146"/>
      <c r="E13" s="146" t="s">
        <v>165</v>
      </c>
      <c r="F13" s="146"/>
      <c r="G13" s="146" t="s">
        <v>165</v>
      </c>
      <c r="H13" s="146"/>
      <c r="I13" s="146" t="s">
        <v>165</v>
      </c>
      <c r="J13" s="146"/>
      <c r="K13" s="146" t="s">
        <v>165</v>
      </c>
      <c r="L13" s="147" t="s">
        <v>166</v>
      </c>
    </row>
    <row r="14" spans="1:12" ht="24.95" customHeight="1">
      <c r="A14" s="148">
        <v>1</v>
      </c>
      <c r="B14" s="149" t="str">
        <f>ORÇ!C19</f>
        <v>CORREDOR DEFRONTE SL DE CURATIVOS</v>
      </c>
      <c r="C14" s="150">
        <f>L14/$D$22</f>
        <v>1.7704036115310896E-2</v>
      </c>
      <c r="D14" s="151">
        <f>L14*E14</f>
        <v>257.08499999999998</v>
      </c>
      <c r="E14" s="152">
        <v>0.5</v>
      </c>
      <c r="F14" s="151">
        <f>L14*G14</f>
        <v>257.08499999999998</v>
      </c>
      <c r="G14" s="152">
        <v>0.5</v>
      </c>
      <c r="H14" s="151">
        <f>L14*I14</f>
        <v>0</v>
      </c>
      <c r="I14" s="152"/>
      <c r="J14" s="151">
        <f>L14*K14</f>
        <v>0</v>
      </c>
      <c r="K14" s="152"/>
      <c r="L14" s="325">
        <f>SUM(ORÇ!H20:H23)</f>
        <v>514.16999999999996</v>
      </c>
    </row>
    <row r="15" spans="1:12" ht="24.95" customHeight="1" thickBot="1">
      <c r="A15" s="153">
        <v>2</v>
      </c>
      <c r="B15" s="154" t="str">
        <f>ORÇ!C25</f>
        <v>SAÍDA FUNDOS, PORTA METALICA</v>
      </c>
      <c r="C15" s="150">
        <f t="shared" ref="C15:C19" si="0">L15/$D$22</f>
        <v>1.0183685787705137E-2</v>
      </c>
      <c r="D15" s="151">
        <f t="shared" ref="D15:D19" si="1">L15*E15</f>
        <v>147.88</v>
      </c>
      <c r="E15" s="152">
        <v>0.5</v>
      </c>
      <c r="F15" s="151">
        <f t="shared" ref="F15:F19" si="2">L15*G15</f>
        <v>147.88</v>
      </c>
      <c r="G15" s="152">
        <v>0.5</v>
      </c>
      <c r="H15" s="151"/>
      <c r="I15" s="155"/>
      <c r="J15" s="151"/>
      <c r="K15" s="155"/>
      <c r="L15" s="325">
        <f>SUM(ORÇ!H26:H28)</f>
        <v>295.76</v>
      </c>
    </row>
    <row r="16" spans="1:12" ht="24.95" customHeight="1">
      <c r="A16" s="148">
        <v>3</v>
      </c>
      <c r="B16" s="156" t="str">
        <f>ORÇ!C30</f>
        <v>CONSULTORIO MÉDICO 1</v>
      </c>
      <c r="C16" s="150">
        <f t="shared" si="0"/>
        <v>0.43625434836427834</v>
      </c>
      <c r="D16" s="151">
        <f t="shared" si="1"/>
        <v>6334.9650000000001</v>
      </c>
      <c r="E16" s="152">
        <v>0.5</v>
      </c>
      <c r="F16" s="151">
        <f t="shared" si="2"/>
        <v>6334.9650000000001</v>
      </c>
      <c r="G16" s="152">
        <v>0.5</v>
      </c>
      <c r="H16" s="151"/>
      <c r="I16" s="155"/>
      <c r="J16" s="151"/>
      <c r="K16" s="155"/>
      <c r="L16" s="401">
        <f>SUM(ORÇ!H31:H50)</f>
        <v>12669.93</v>
      </c>
    </row>
    <row r="17" spans="1:12" ht="24.95" customHeight="1" thickBot="1">
      <c r="A17" s="153">
        <v>4</v>
      </c>
      <c r="B17" s="156" t="str">
        <f>ORÇ!C52</f>
        <v>CONSULTORIO MÉDICO 2</v>
      </c>
      <c r="C17" s="150">
        <f t="shared" si="0"/>
        <v>0.39501999309288832</v>
      </c>
      <c r="D17" s="151">
        <f t="shared" si="1"/>
        <v>5736.19</v>
      </c>
      <c r="E17" s="152">
        <v>0.5</v>
      </c>
      <c r="F17" s="151">
        <f t="shared" si="2"/>
        <v>5736.19</v>
      </c>
      <c r="G17" s="152">
        <v>0.5</v>
      </c>
      <c r="H17" s="151"/>
      <c r="I17" s="155"/>
      <c r="J17" s="151"/>
      <c r="K17" s="155"/>
      <c r="L17" s="401">
        <f>SUM(ORÇ!H53:H70)</f>
        <v>11472.38</v>
      </c>
    </row>
    <row r="18" spans="1:12" ht="24.95" customHeight="1">
      <c r="A18" s="148">
        <v>5</v>
      </c>
      <c r="B18" s="156" t="str">
        <f>ORÇ!C72</f>
        <v>SANITÁRIO 3 CORREDOR</v>
      </c>
      <c r="C18" s="150">
        <f t="shared" si="0"/>
        <v>0.13015360576368523</v>
      </c>
      <c r="D18" s="151">
        <f t="shared" si="1"/>
        <v>1889.9949999999999</v>
      </c>
      <c r="E18" s="152">
        <v>0.5</v>
      </c>
      <c r="F18" s="151">
        <f t="shared" si="2"/>
        <v>1889.9949999999999</v>
      </c>
      <c r="G18" s="152">
        <v>0.5</v>
      </c>
      <c r="H18" s="151"/>
      <c r="I18" s="155"/>
      <c r="J18" s="151"/>
      <c r="K18" s="155"/>
      <c r="L18" s="325">
        <f>+SUM(ORÇ!H73:H83)</f>
        <v>3779.99</v>
      </c>
    </row>
    <row r="19" spans="1:12" ht="24.95" customHeight="1">
      <c r="A19" s="153">
        <v>6</v>
      </c>
      <c r="B19" s="156" t="str">
        <f>ORÇ!C85</f>
        <v>FORRO EM PVC</v>
      </c>
      <c r="C19" s="150">
        <f t="shared" si="0"/>
        <v>1.0684330876132351E-2</v>
      </c>
      <c r="D19" s="151">
        <f t="shared" si="1"/>
        <v>155.15</v>
      </c>
      <c r="E19" s="152">
        <v>0.5</v>
      </c>
      <c r="F19" s="151">
        <f t="shared" si="2"/>
        <v>155.15</v>
      </c>
      <c r="G19" s="152">
        <v>0.5</v>
      </c>
      <c r="H19" s="151"/>
      <c r="I19" s="155"/>
      <c r="J19" s="151"/>
      <c r="K19" s="155"/>
      <c r="L19" s="325">
        <f>SUM(ORÇ!H86)</f>
        <v>310.3</v>
      </c>
    </row>
    <row r="20" spans="1:12">
      <c r="A20" s="157" t="s">
        <v>167</v>
      </c>
      <c r="B20" s="158"/>
      <c r="C20" s="159"/>
      <c r="D20" s="314">
        <f>SUM(D14:D19)</f>
        <v>14521.264999999998</v>
      </c>
      <c r="E20" s="159">
        <f>D20/L20</f>
        <v>0.5</v>
      </c>
      <c r="F20" s="314">
        <f>SUM(F14:F19)</f>
        <v>14521.264999999998</v>
      </c>
      <c r="G20" s="159">
        <f>IF($L$20=0,0,F20/$L$20)</f>
        <v>0.5</v>
      </c>
      <c r="H20" s="314">
        <f>SUM(H14:H18)</f>
        <v>0</v>
      </c>
      <c r="I20" s="159">
        <f>IF($L$20=0,0,H20/$L$20)</f>
        <v>0</v>
      </c>
      <c r="J20" s="314">
        <f>SUM(J14:J18)</f>
        <v>0</v>
      </c>
      <c r="K20" s="159">
        <f>IF($L$20=0,0,J20/$L$20)</f>
        <v>0</v>
      </c>
      <c r="L20" s="315">
        <f>SUM(L14:L19)</f>
        <v>29042.529999999995</v>
      </c>
    </row>
    <row r="21" spans="1:12">
      <c r="A21" s="160" t="s">
        <v>168</v>
      </c>
      <c r="B21" s="158"/>
      <c r="C21" s="161"/>
      <c r="D21" s="314">
        <f>(1-$C$26)*D20</f>
        <v>14521.264999999998</v>
      </c>
      <c r="E21" s="161">
        <f>E20</f>
        <v>0.5</v>
      </c>
      <c r="F21" s="314">
        <f t="shared" ref="F21:K21" si="3">D21+F20</f>
        <v>29042.529999999995</v>
      </c>
      <c r="G21" s="161">
        <f t="shared" si="3"/>
        <v>1</v>
      </c>
      <c r="H21" s="314">
        <f t="shared" si="3"/>
        <v>29042.529999999995</v>
      </c>
      <c r="I21" s="161">
        <f t="shared" si="3"/>
        <v>1</v>
      </c>
      <c r="J21" s="314">
        <f t="shared" si="3"/>
        <v>29042.529999999995</v>
      </c>
      <c r="K21" s="161">
        <f t="shared" si="3"/>
        <v>1</v>
      </c>
      <c r="L21" s="162"/>
    </row>
    <row r="22" spans="1:12">
      <c r="A22" s="163" t="s">
        <v>169</v>
      </c>
      <c r="B22" s="164"/>
      <c r="C22" s="165">
        <f>SUM(C14:C19)</f>
        <v>1.0000000000000002</v>
      </c>
      <c r="D22" s="402">
        <f>ORÇ!H88</f>
        <v>29042.529999999992</v>
      </c>
      <c r="E22" s="165"/>
      <c r="F22" s="166"/>
      <c r="G22" s="165"/>
      <c r="H22" s="166"/>
      <c r="I22" s="165"/>
      <c r="J22" s="167"/>
      <c r="K22" s="167"/>
      <c r="L22" s="168"/>
    </row>
    <row r="24" spans="1:12">
      <c r="H24" t="str">
        <f>ORÇ!G89</f>
        <v>EUCLIDES DA CUNHA PTA, 19 DE NOVEMBRO DE 2019.</v>
      </c>
    </row>
    <row r="25" spans="1:12">
      <c r="B25" s="169"/>
      <c r="H25" s="65"/>
      <c r="I25" s="65"/>
      <c r="J25" s="65"/>
      <c r="K25" s="65"/>
      <c r="L25" s="65"/>
    </row>
    <row r="26" spans="1:12">
      <c r="I26" s="169"/>
      <c r="J26" s="169"/>
      <c r="K26" s="169"/>
      <c r="L26" s="169"/>
    </row>
    <row r="27" spans="1:12">
      <c r="I27" s="169"/>
      <c r="J27" s="169"/>
      <c r="K27" s="169"/>
      <c r="L27" s="169"/>
    </row>
    <row r="28" spans="1:12" ht="18.75">
      <c r="B28" s="98" t="str">
        <f>ORÇ!C93</f>
        <v>Eng.º Edson Luiz da Silva</v>
      </c>
      <c r="C28" s="92"/>
      <c r="D28" s="92"/>
      <c r="E28" s="92"/>
      <c r="F28" s="92"/>
      <c r="G28" s="98" t="str">
        <f>ORÇ!E93</f>
        <v>Christian Fuziki Ikeda</v>
      </c>
      <c r="H28" s="61"/>
      <c r="I28" s="61"/>
      <c r="J28" s="61"/>
      <c r="K28" s="169"/>
      <c r="L28" s="169"/>
    </row>
    <row r="29" spans="1:12" ht="18.75">
      <c r="B29" s="98" t="str">
        <f>ORÇ!C94</f>
        <v>CREA 5060740530/D</v>
      </c>
      <c r="C29" s="92"/>
      <c r="D29" s="92"/>
      <c r="E29" s="92"/>
      <c r="F29" s="92"/>
      <c r="G29" s="98" t="str">
        <f>ORÇ!E94</f>
        <v>Prefeito</v>
      </c>
      <c r="H29" s="60"/>
      <c r="I29" s="60"/>
      <c r="J29" s="60"/>
      <c r="K29" s="62"/>
    </row>
    <row r="30" spans="1:12" ht="18.75">
      <c r="B30" s="92"/>
      <c r="C30" s="92"/>
      <c r="D30" s="92"/>
      <c r="E30" s="92"/>
      <c r="F30" s="92"/>
      <c r="G30" s="92"/>
      <c r="H30" s="60"/>
      <c r="I30" s="60"/>
      <c r="J30" s="60"/>
      <c r="K30" s="62"/>
    </row>
  </sheetData>
  <mergeCells count="6">
    <mergeCell ref="H9:L10"/>
    <mergeCell ref="F8:G8"/>
    <mergeCell ref="F9:G9"/>
    <mergeCell ref="B10:C10"/>
    <mergeCell ref="D10:E10"/>
    <mergeCell ref="F10:G10"/>
  </mergeCells>
  <pageMargins left="0.31527777777777799" right="0.118055555555556" top="0.78749999999999998" bottom="0.78749999999999998" header="0.51180555555555496" footer="0.51180555555555496"/>
  <pageSetup paperSize="9" scale="85" firstPageNumber="0" orientation="landscape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9:K51"/>
  <sheetViews>
    <sheetView view="pageBreakPreview" workbookViewId="0">
      <pane ySplit="15" topLeftCell="A16" activePane="bottomLeft" state="frozen"/>
      <selection pane="bottomLeft" activeCell="A16" sqref="A16"/>
    </sheetView>
  </sheetViews>
  <sheetFormatPr defaultRowHeight="15"/>
  <cols>
    <col min="1" max="1" width="8.7109375" customWidth="1"/>
    <col min="2" max="2" width="11.42578125"/>
    <col min="3" max="3" width="64" customWidth="1"/>
    <col min="4" max="4" width="7.85546875" customWidth="1"/>
    <col min="5" max="5" width="10" customWidth="1"/>
    <col min="6" max="6" width="12.42578125" customWidth="1"/>
    <col min="7" max="7" width="17.140625" customWidth="1"/>
    <col min="8" max="8" width="10.5703125" customWidth="1"/>
    <col min="9" max="9" width="16.5703125" customWidth="1"/>
    <col min="10" max="10" width="13.85546875" customWidth="1"/>
    <col min="11" max="11" width="14.7109375" customWidth="1"/>
    <col min="12" max="1025" width="8.7109375" customWidth="1"/>
  </cols>
  <sheetData>
    <row r="9" spans="1:11">
      <c r="A9" t="s">
        <v>58</v>
      </c>
    </row>
    <row r="10" spans="1:11" ht="3.75" customHeight="1"/>
    <row r="11" spans="1:11" ht="21">
      <c r="A11" t="s">
        <v>170</v>
      </c>
      <c r="D11" s="14" t="s">
        <v>59</v>
      </c>
    </row>
    <row r="12" spans="1:11" ht="3" customHeight="1"/>
    <row r="13" spans="1:11">
      <c r="A13" t="s">
        <v>2</v>
      </c>
      <c r="F13" s="1" t="s">
        <v>3</v>
      </c>
      <c r="G13" s="1"/>
    </row>
    <row r="14" spans="1:11" ht="25.5" customHeight="1">
      <c r="A14" s="357" t="s">
        <v>4</v>
      </c>
      <c r="B14" s="358" t="s">
        <v>5</v>
      </c>
      <c r="C14" s="356" t="s">
        <v>7</v>
      </c>
      <c r="D14" s="356" t="s">
        <v>9</v>
      </c>
      <c r="E14" s="356" t="s">
        <v>8</v>
      </c>
      <c r="F14" s="362" t="s">
        <v>10</v>
      </c>
      <c r="G14" s="362"/>
      <c r="H14" s="172" t="s">
        <v>173</v>
      </c>
      <c r="I14" s="173" t="s">
        <v>174</v>
      </c>
      <c r="J14" s="170" t="s">
        <v>171</v>
      </c>
      <c r="K14" s="171" t="s">
        <v>172</v>
      </c>
    </row>
    <row r="15" spans="1:11" ht="15.75">
      <c r="A15" s="357"/>
      <c r="B15" s="358"/>
      <c r="C15" s="356"/>
      <c r="D15" s="356"/>
      <c r="E15" s="356"/>
      <c r="F15" s="15" t="s">
        <v>11</v>
      </c>
      <c r="G15" s="94" t="s">
        <v>12</v>
      </c>
      <c r="H15" s="186"/>
      <c r="I15" s="187"/>
      <c r="J15" s="188"/>
      <c r="K15" s="188"/>
    </row>
    <row r="16" spans="1:11" ht="26.25">
      <c r="A16" s="16">
        <v>1</v>
      </c>
      <c r="B16" s="17" t="s">
        <v>60</v>
      </c>
      <c r="C16" s="18" t="s">
        <v>18</v>
      </c>
      <c r="D16" s="19"/>
      <c r="E16" s="20"/>
      <c r="F16" s="21"/>
      <c r="G16" s="189">
        <f>SUM(G17:G19)</f>
        <v>15897.539999999999</v>
      </c>
      <c r="H16" s="190"/>
      <c r="I16" s="191"/>
      <c r="J16" s="192"/>
      <c r="K16" s="176"/>
    </row>
    <row r="17" spans="1:11" ht="45" customHeight="1">
      <c r="A17" s="23" t="s">
        <v>14</v>
      </c>
      <c r="B17" s="24" t="s">
        <v>61</v>
      </c>
      <c r="C17" s="25" t="s">
        <v>62</v>
      </c>
      <c r="D17" s="26" t="s">
        <v>22</v>
      </c>
      <c r="E17" s="27">
        <f>810+126</f>
        <v>936</v>
      </c>
      <c r="F17" s="28">
        <f>ROUND(5.87*(1+$D$35),2)</f>
        <v>7.63</v>
      </c>
      <c r="G17" s="193">
        <f>ROUND(F17*E17,2)</f>
        <v>7141.68</v>
      </c>
      <c r="H17" s="194"/>
      <c r="I17" s="195">
        <f>G17*H17</f>
        <v>0</v>
      </c>
      <c r="J17" s="196">
        <f>H17</f>
        <v>0</v>
      </c>
      <c r="K17" s="197">
        <f>J17*G17</f>
        <v>0</v>
      </c>
    </row>
    <row r="18" spans="1:11" ht="44.25" customHeight="1">
      <c r="A18" s="23" t="s">
        <v>63</v>
      </c>
      <c r="B18" s="24" t="s">
        <v>64</v>
      </c>
      <c r="C18" s="25" t="s">
        <v>187</v>
      </c>
      <c r="D18" s="26" t="s">
        <v>22</v>
      </c>
      <c r="E18" s="27">
        <v>890.49</v>
      </c>
      <c r="F18" s="28">
        <f>ROUND(7.15*(1+$D$35),2)</f>
        <v>9.3000000000000007</v>
      </c>
      <c r="G18" s="193">
        <f>ROUND(F18*E18,2)</f>
        <v>8281.56</v>
      </c>
      <c r="H18" s="194"/>
      <c r="I18" s="195">
        <f>G18*H18</f>
        <v>0</v>
      </c>
      <c r="J18" s="196">
        <f>H18</f>
        <v>0</v>
      </c>
      <c r="K18" s="197">
        <f>J18*G18</f>
        <v>0</v>
      </c>
    </row>
    <row r="19" spans="1:11" ht="30" customHeight="1">
      <c r="A19" s="23" t="s">
        <v>66</v>
      </c>
      <c r="B19" s="24" t="s">
        <v>67</v>
      </c>
      <c r="C19" s="25" t="s">
        <v>28</v>
      </c>
      <c r="D19" s="26" t="s">
        <v>17</v>
      </c>
      <c r="E19" s="27">
        <v>127.5</v>
      </c>
      <c r="F19" s="28">
        <f>ROUND(2.86*(1+$D$35),2)</f>
        <v>3.72</v>
      </c>
      <c r="G19" s="193">
        <f>ROUND(F19*E19,2)</f>
        <v>474.3</v>
      </c>
      <c r="H19" s="194"/>
      <c r="I19" s="195">
        <f>G19*H19</f>
        <v>0</v>
      </c>
      <c r="J19" s="196">
        <f>H19</f>
        <v>0</v>
      </c>
      <c r="K19" s="197">
        <f>J19*G19</f>
        <v>0</v>
      </c>
    </row>
    <row r="20" spans="1:11" ht="30">
      <c r="A20" s="16">
        <v>2</v>
      </c>
      <c r="B20" s="29" t="s">
        <v>68</v>
      </c>
      <c r="C20" s="18" t="s">
        <v>29</v>
      </c>
      <c r="D20" s="30"/>
      <c r="E20" s="31"/>
      <c r="F20" s="32"/>
      <c r="G20" s="198">
        <f>SUM(G21:G22)</f>
        <v>37426.839999999997</v>
      </c>
      <c r="H20" s="194"/>
      <c r="I20" s="195"/>
      <c r="J20" s="196"/>
      <c r="K20" s="197"/>
    </row>
    <row r="21" spans="1:11" ht="18" customHeight="1">
      <c r="A21" s="23" t="s">
        <v>19</v>
      </c>
      <c r="B21" s="24" t="s">
        <v>69</v>
      </c>
      <c r="C21" s="35" t="s">
        <v>32</v>
      </c>
      <c r="D21" s="26" t="s">
        <v>33</v>
      </c>
      <c r="E21" s="27">
        <v>28</v>
      </c>
      <c r="F21" s="28">
        <f>ROUND(94.14*(1+$D$35),2)</f>
        <v>122.38</v>
      </c>
      <c r="G21" s="193">
        <f>ROUND(F21*E21,2)</f>
        <v>3426.64</v>
      </c>
      <c r="H21" s="194"/>
      <c r="I21" s="195">
        <f>G21*H21</f>
        <v>0</v>
      </c>
      <c r="J21" s="196">
        <f>H21</f>
        <v>0</v>
      </c>
      <c r="K21" s="197">
        <f>J21*G21</f>
        <v>0</v>
      </c>
    </row>
    <row r="22" spans="1:11" ht="15.75" customHeight="1">
      <c r="A22" s="23" t="s">
        <v>23</v>
      </c>
      <c r="B22" s="24" t="s">
        <v>70</v>
      </c>
      <c r="C22" s="36" t="s">
        <v>71</v>
      </c>
      <c r="D22" s="26" t="s">
        <v>33</v>
      </c>
      <c r="E22" s="27">
        <v>180</v>
      </c>
      <c r="F22" s="28">
        <f>ROUND(145.3*(1+$D$35),2)</f>
        <v>188.89</v>
      </c>
      <c r="G22" s="193">
        <f>ROUND(F22*E22,2)</f>
        <v>34000.199999999997</v>
      </c>
      <c r="H22" s="194"/>
      <c r="I22" s="195">
        <f>G22*H22</f>
        <v>0</v>
      </c>
      <c r="J22" s="196">
        <f>H22</f>
        <v>0</v>
      </c>
      <c r="K22" s="197">
        <f>J22*G22</f>
        <v>0</v>
      </c>
    </row>
    <row r="23" spans="1:11" ht="26.25">
      <c r="A23" s="37">
        <v>3</v>
      </c>
      <c r="B23" s="17" t="s">
        <v>60</v>
      </c>
      <c r="C23" s="18" t="s">
        <v>72</v>
      </c>
      <c r="D23" s="19"/>
      <c r="E23" s="31"/>
      <c r="F23" s="32"/>
      <c r="G23" s="198">
        <f>SUM(G24:G25)</f>
        <v>15246.72</v>
      </c>
      <c r="H23" s="194"/>
      <c r="I23" s="195"/>
      <c r="J23" s="196"/>
      <c r="K23" s="197"/>
    </row>
    <row r="24" spans="1:11" ht="43.5" customHeight="1">
      <c r="A24" s="23" t="s">
        <v>30</v>
      </c>
      <c r="B24" s="24" t="s">
        <v>73</v>
      </c>
      <c r="C24" s="38" t="s">
        <v>43</v>
      </c>
      <c r="D24" s="39" t="s">
        <v>44</v>
      </c>
      <c r="E24" s="27">
        <v>4</v>
      </c>
      <c r="F24" s="28">
        <f>ROUND(1454.89*(1+$D$35),2)</f>
        <v>1891.36</v>
      </c>
      <c r="G24" s="193">
        <f>ROUND(F24*E24,2)</f>
        <v>7565.44</v>
      </c>
      <c r="H24" s="194"/>
      <c r="I24" s="195">
        <f>G24*H24</f>
        <v>0</v>
      </c>
      <c r="J24" s="196">
        <f>H24</f>
        <v>0</v>
      </c>
      <c r="K24" s="197">
        <f>J24*G24</f>
        <v>0</v>
      </c>
    </row>
    <row r="25" spans="1:11" ht="43.5" customHeight="1">
      <c r="A25" s="23" t="s">
        <v>34</v>
      </c>
      <c r="B25" s="24" t="s">
        <v>74</v>
      </c>
      <c r="C25" s="38" t="s">
        <v>50</v>
      </c>
      <c r="D25" s="39" t="s">
        <v>44</v>
      </c>
      <c r="E25" s="27">
        <v>2</v>
      </c>
      <c r="F25" s="28">
        <f>ROUND(2954.34*(1+$D$35),2)</f>
        <v>3840.64</v>
      </c>
      <c r="G25" s="193">
        <f>ROUND(F25*E25,2)</f>
        <v>7681.28</v>
      </c>
      <c r="H25" s="194"/>
      <c r="I25" s="195">
        <f>G25*H25</f>
        <v>0</v>
      </c>
      <c r="J25" s="196">
        <f>H25</f>
        <v>0</v>
      </c>
      <c r="K25" s="197">
        <f>J25*G25</f>
        <v>0</v>
      </c>
    </row>
    <row r="26" spans="1:11" ht="28.5" customHeight="1">
      <c r="A26" s="37">
        <v>4</v>
      </c>
      <c r="B26" s="17" t="s">
        <v>60</v>
      </c>
      <c r="C26" s="18" t="s">
        <v>75</v>
      </c>
      <c r="D26" s="40" t="s">
        <v>17</v>
      </c>
      <c r="E26" s="41">
        <v>5400.06</v>
      </c>
      <c r="F26" s="174">
        <f>G26/E26</f>
        <v>15.820000148146503</v>
      </c>
      <c r="G26" s="198">
        <f>SUM(G31:G33)</f>
        <v>85428.950000000012</v>
      </c>
      <c r="H26" s="194"/>
      <c r="I26" s="195"/>
      <c r="J26" s="196"/>
      <c r="K26" s="197"/>
    </row>
    <row r="27" spans="1:11" ht="33" customHeight="1">
      <c r="A27" s="43" t="s">
        <v>41</v>
      </c>
      <c r="B27" s="44" t="s">
        <v>77</v>
      </c>
      <c r="C27" s="45" t="s">
        <v>78</v>
      </c>
      <c r="D27" s="46" t="s">
        <v>22</v>
      </c>
      <c r="E27" s="47">
        <f>ROUND($E$26*0.25,2)</f>
        <v>1350.02</v>
      </c>
      <c r="F27" s="28"/>
      <c r="G27" s="193" t="s">
        <v>175</v>
      </c>
      <c r="H27" s="194"/>
      <c r="I27" s="195"/>
      <c r="J27" s="196"/>
      <c r="K27" s="197"/>
    </row>
    <row r="28" spans="1:11" ht="24" customHeight="1">
      <c r="A28" s="43" t="s">
        <v>45</v>
      </c>
      <c r="B28" s="44" t="s">
        <v>176</v>
      </c>
      <c r="C28" s="45" t="s">
        <v>177</v>
      </c>
      <c r="D28" s="46" t="s">
        <v>17</v>
      </c>
      <c r="E28" s="177">
        <f>$E$26</f>
        <v>5400.06</v>
      </c>
      <c r="F28" s="28"/>
      <c r="G28" s="193" t="s">
        <v>175</v>
      </c>
      <c r="H28" s="194"/>
      <c r="I28" s="195"/>
      <c r="J28" s="196"/>
      <c r="K28" s="197"/>
    </row>
    <row r="29" spans="1:11" ht="28.5" customHeight="1">
      <c r="A29" s="43" t="s">
        <v>48</v>
      </c>
      <c r="B29" s="44" t="s">
        <v>87</v>
      </c>
      <c r="C29" s="49" t="s">
        <v>178</v>
      </c>
      <c r="D29" s="46" t="s">
        <v>17</v>
      </c>
      <c r="E29" s="177">
        <f>E28</f>
        <v>5400.06</v>
      </c>
      <c r="F29" s="28"/>
      <c r="G29" s="193" t="s">
        <v>175</v>
      </c>
      <c r="H29" s="194"/>
      <c r="I29" s="195"/>
      <c r="J29" s="196"/>
      <c r="K29" s="197"/>
    </row>
    <row r="30" spans="1:11" ht="41.25" customHeight="1">
      <c r="A30" s="43" t="s">
        <v>51</v>
      </c>
      <c r="B30" s="44" t="s">
        <v>179</v>
      </c>
      <c r="C30" s="49" t="s">
        <v>180</v>
      </c>
      <c r="D30" s="46" t="s">
        <v>22</v>
      </c>
      <c r="E30" s="47">
        <f>ROUND($E$26*0.2,2)</f>
        <v>1080.01</v>
      </c>
      <c r="F30" s="28"/>
      <c r="G30" s="193" t="s">
        <v>175</v>
      </c>
      <c r="H30" s="194"/>
      <c r="I30" s="195"/>
      <c r="J30" s="196"/>
      <c r="K30" s="197"/>
    </row>
    <row r="31" spans="1:11" ht="18.75" customHeight="1">
      <c r="A31" s="43" t="s">
        <v>54</v>
      </c>
      <c r="B31" s="44" t="s">
        <v>93</v>
      </c>
      <c r="C31" s="49" t="s">
        <v>94</v>
      </c>
      <c r="D31" s="46" t="s">
        <v>17</v>
      </c>
      <c r="E31" s="177">
        <f>E28</f>
        <v>5400.06</v>
      </c>
      <c r="F31" s="28">
        <f>ROUND(2.74*(1+$D$35),2)</f>
        <v>3.56</v>
      </c>
      <c r="G31" s="193">
        <f>ROUND(F31*E31,2)</f>
        <v>19224.21</v>
      </c>
      <c r="H31" s="194"/>
      <c r="I31" s="195">
        <f>G31*H31</f>
        <v>0</v>
      </c>
      <c r="J31" s="196">
        <f>H31</f>
        <v>0</v>
      </c>
      <c r="K31" s="197">
        <f>J31*G31</f>
        <v>0</v>
      </c>
    </row>
    <row r="32" spans="1:11">
      <c r="A32" s="43" t="s">
        <v>86</v>
      </c>
      <c r="B32" s="44" t="s">
        <v>96</v>
      </c>
      <c r="C32" s="49" t="s">
        <v>97</v>
      </c>
      <c r="D32" s="46" t="s">
        <v>17</v>
      </c>
      <c r="E32" s="177">
        <f>E29</f>
        <v>5400.06</v>
      </c>
      <c r="F32" s="28">
        <f>ROUND(1.03*(1+$D$35),2)</f>
        <v>1.34</v>
      </c>
      <c r="G32" s="193">
        <f>ROUND(F32*E32,2)</f>
        <v>7236.08</v>
      </c>
      <c r="H32" s="194"/>
      <c r="I32" s="195">
        <f>G32*H32</f>
        <v>0</v>
      </c>
      <c r="J32" s="196">
        <f>H32</f>
        <v>0</v>
      </c>
      <c r="K32" s="197">
        <f>J32*G32</f>
        <v>0</v>
      </c>
    </row>
    <row r="33" spans="1:11" ht="25.5">
      <c r="A33" s="43" t="s">
        <v>89</v>
      </c>
      <c r="B33" s="50" t="s">
        <v>181</v>
      </c>
      <c r="C33" s="51" t="s">
        <v>182</v>
      </c>
      <c r="D33" s="52" t="s">
        <v>17</v>
      </c>
      <c r="E33" s="177">
        <f>E26</f>
        <v>5400.06</v>
      </c>
      <c r="F33" s="28">
        <f>ROUND(8.4*(1+$D$35),2)</f>
        <v>10.92</v>
      </c>
      <c r="G33" s="193">
        <f>ROUND(F33*E33,2)</f>
        <v>58968.66</v>
      </c>
      <c r="H33" s="194"/>
      <c r="I33" s="195">
        <f>G33*H33</f>
        <v>0</v>
      </c>
      <c r="J33" s="196">
        <f>H33</f>
        <v>0</v>
      </c>
      <c r="K33" s="197">
        <f>J33*G33</f>
        <v>0</v>
      </c>
    </row>
    <row r="34" spans="1:11">
      <c r="H34" s="199"/>
      <c r="I34" s="200"/>
    </row>
    <row r="35" spans="1:11" ht="15.75">
      <c r="A35" s="53"/>
      <c r="B35" s="54"/>
      <c r="C35" s="55" t="s">
        <v>101</v>
      </c>
      <c r="D35" s="56">
        <v>0.3</v>
      </c>
      <c r="E35" s="57"/>
      <c r="F35" s="57"/>
      <c r="G35" s="58">
        <f>SUM(G16+G20+G23+G26)</f>
        <v>154000.04999999999</v>
      </c>
      <c r="H35" s="201">
        <f>I35/G35</f>
        <v>0</v>
      </c>
      <c r="I35" s="202">
        <f>SUM(I17:I34)</f>
        <v>0</v>
      </c>
      <c r="J35" s="203">
        <f>K35/G35</f>
        <v>0</v>
      </c>
      <c r="K35" s="58">
        <f>SUM(K17:K34)</f>
        <v>0</v>
      </c>
    </row>
    <row r="37" spans="1:11">
      <c r="F37" s="59" t="s">
        <v>188</v>
      </c>
    </row>
    <row r="38" spans="1:11">
      <c r="D38" s="60"/>
      <c r="E38" s="60"/>
      <c r="G38" s="61"/>
    </row>
    <row r="39" spans="1:11" ht="15.75" customHeight="1">
      <c r="C39" s="394" t="s">
        <v>183</v>
      </c>
      <c r="D39" s="204"/>
      <c r="E39" s="204"/>
      <c r="F39" s="395"/>
      <c r="G39" s="395"/>
    </row>
    <row r="40" spans="1:11">
      <c r="C40" s="394"/>
      <c r="D40" s="205" t="s">
        <v>184</v>
      </c>
      <c r="E40" s="205" t="s">
        <v>136</v>
      </c>
      <c r="F40" s="396" t="s">
        <v>157</v>
      </c>
      <c r="G40" s="396"/>
    </row>
    <row r="41" spans="1:11" ht="15.75">
      <c r="C41" s="206" t="s">
        <v>189</v>
      </c>
      <c r="D41" s="207"/>
      <c r="E41" s="208">
        <f>F41/G35</f>
        <v>0</v>
      </c>
      <c r="F41" s="397">
        <f>I35</f>
        <v>0</v>
      </c>
      <c r="G41" s="397"/>
    </row>
    <row r="42" spans="1:11" ht="15.75">
      <c r="C42" s="206"/>
      <c r="D42" s="207"/>
      <c r="E42" s="208"/>
      <c r="F42" s="209"/>
      <c r="G42" s="210"/>
    </row>
    <row r="43" spans="1:11">
      <c r="C43" s="211" t="s">
        <v>185</v>
      </c>
      <c r="D43" s="212"/>
      <c r="E43" s="213">
        <f>F43/G35</f>
        <v>0</v>
      </c>
      <c r="F43" s="392">
        <f>SUM(F41:G42)</f>
        <v>0</v>
      </c>
      <c r="G43" s="392"/>
    </row>
    <row r="44" spans="1:11">
      <c r="C44" s="214" t="s">
        <v>186</v>
      </c>
      <c r="D44" s="215"/>
      <c r="E44" s="216">
        <f>F44/G35</f>
        <v>1</v>
      </c>
      <c r="F44" s="393">
        <f>G35-F41</f>
        <v>154000.04999999999</v>
      </c>
      <c r="G44" s="393"/>
    </row>
    <row r="49" spans="3:6">
      <c r="C49" s="61" t="s">
        <v>103</v>
      </c>
      <c r="F49" s="61" t="s">
        <v>104</v>
      </c>
    </row>
    <row r="50" spans="3:6">
      <c r="C50" s="61" t="s">
        <v>105</v>
      </c>
      <c r="F50" s="61" t="s">
        <v>106</v>
      </c>
    </row>
    <row r="51" spans="3:6">
      <c r="C51" t="s">
        <v>148</v>
      </c>
    </row>
  </sheetData>
  <mergeCells count="12">
    <mergeCell ref="A14:A15"/>
    <mergeCell ref="B14:B15"/>
    <mergeCell ref="C14:C15"/>
    <mergeCell ref="D14:D15"/>
    <mergeCell ref="E14:E15"/>
    <mergeCell ref="F43:G43"/>
    <mergeCell ref="F44:G44"/>
    <mergeCell ref="F14:G14"/>
    <mergeCell ref="C39:C40"/>
    <mergeCell ref="F39:G39"/>
    <mergeCell ref="F40:G40"/>
    <mergeCell ref="F41:G41"/>
  </mergeCells>
  <pageMargins left="0.51180555555555496" right="0.118055555555556" top="0.39374999999999999" bottom="0.59027777777777801" header="0.51180555555555496" footer="0.51180555555555496"/>
  <pageSetup paperSize="9" firstPageNumber="0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9:AMK38"/>
  <sheetViews>
    <sheetView view="pageBreakPreview" topLeftCell="A2" workbookViewId="0">
      <pane ySplit="12" topLeftCell="A26" activePane="bottomLeft" state="frozen"/>
      <selection activeCell="A2" sqref="A2"/>
      <selection pane="bottomLeft" activeCell="D31" sqref="D31"/>
    </sheetView>
  </sheetViews>
  <sheetFormatPr defaultRowHeight="15.75"/>
  <cols>
    <col min="1" max="2" width="10.140625" style="217" customWidth="1"/>
    <col min="3" max="3" width="5.42578125" style="218" customWidth="1"/>
    <col min="4" max="4" width="47.28515625" style="217" customWidth="1"/>
    <col min="5" max="5" width="10.28515625" style="217" customWidth="1"/>
    <col min="6" max="6" width="12.28515625" style="219" customWidth="1"/>
    <col min="7" max="7" width="17.5703125" style="219" customWidth="1"/>
    <col min="8" max="8" width="15.42578125" style="217" customWidth="1"/>
    <col min="9" max="9" width="13.140625" style="217" customWidth="1"/>
    <col min="10" max="10" width="18" style="217" customWidth="1"/>
    <col min="11" max="12" width="15.42578125" style="217" customWidth="1"/>
    <col min="13" max="1025" width="9.140625" style="217" customWidth="1"/>
  </cols>
  <sheetData>
    <row r="9" spans="1:12">
      <c r="A9" s="220" t="s">
        <v>190</v>
      </c>
    </row>
    <row r="10" spans="1:12">
      <c r="A10" s="220" t="s">
        <v>191</v>
      </c>
    </row>
    <row r="11" spans="1:12" ht="18">
      <c r="A11" s="220" t="s">
        <v>192</v>
      </c>
      <c r="G11" s="221" t="s">
        <v>193</v>
      </c>
    </row>
    <row r="12" spans="1:12">
      <c r="A12" s="220"/>
    </row>
    <row r="13" spans="1:12" ht="35.25" customHeight="1">
      <c r="A13" s="222" t="s">
        <v>194</v>
      </c>
      <c r="B13" s="222" t="s">
        <v>195</v>
      </c>
      <c r="C13" s="222" t="s">
        <v>196</v>
      </c>
      <c r="D13" s="222" t="s">
        <v>197</v>
      </c>
      <c r="E13" s="222" t="s">
        <v>198</v>
      </c>
      <c r="F13" s="222" t="s">
        <v>199</v>
      </c>
      <c r="G13" s="222" t="s">
        <v>200</v>
      </c>
      <c r="H13" s="223" t="s">
        <v>201</v>
      </c>
      <c r="I13" s="224" t="s">
        <v>173</v>
      </c>
      <c r="J13" s="225" t="s">
        <v>174</v>
      </c>
      <c r="K13" s="226" t="s">
        <v>171</v>
      </c>
      <c r="L13" s="222" t="s">
        <v>172</v>
      </c>
    </row>
    <row r="14" spans="1:12" s="231" customFormat="1">
      <c r="A14" s="227"/>
      <c r="B14" s="227"/>
      <c r="C14" s="227">
        <v>1</v>
      </c>
      <c r="D14" s="227" t="s">
        <v>202</v>
      </c>
      <c r="E14" s="227"/>
      <c r="F14" s="227"/>
      <c r="G14" s="227"/>
      <c r="H14" s="228"/>
      <c r="I14" s="229"/>
      <c r="J14" s="230"/>
      <c r="K14" s="227"/>
      <c r="L14" s="227"/>
    </row>
    <row r="15" spans="1:12" s="231" customFormat="1" ht="43.5" customHeight="1">
      <c r="A15" s="232" t="s">
        <v>203</v>
      </c>
      <c r="B15" s="233">
        <v>3062</v>
      </c>
      <c r="C15" s="234" t="s">
        <v>14</v>
      </c>
      <c r="D15" s="25" t="s">
        <v>21</v>
      </c>
      <c r="E15" s="235" t="s">
        <v>22</v>
      </c>
      <c r="F15" s="236">
        <v>7.64</v>
      </c>
      <c r="G15" s="27">
        <f>810+126</f>
        <v>936</v>
      </c>
      <c r="H15" s="179">
        <f>ROUND(F15*G15,2)</f>
        <v>7151.04</v>
      </c>
      <c r="I15" s="237">
        <v>0.2</v>
      </c>
      <c r="J15" s="180">
        <f>ROUND(F15*G15*I15,2)</f>
        <v>1430.21</v>
      </c>
      <c r="K15" s="178">
        <f t="shared" ref="K15:L17" si="0">I15</f>
        <v>0.2</v>
      </c>
      <c r="L15" s="179">
        <f t="shared" si="0"/>
        <v>1430.21</v>
      </c>
    </row>
    <row r="16" spans="1:12" s="231" customFormat="1" ht="58.5" customHeight="1">
      <c r="A16" s="232" t="s">
        <v>204</v>
      </c>
      <c r="B16" s="238" t="s">
        <v>64</v>
      </c>
      <c r="C16" s="234" t="s">
        <v>63</v>
      </c>
      <c r="D16" s="25" t="s">
        <v>205</v>
      </c>
      <c r="E16" s="235" t="s">
        <v>22</v>
      </c>
      <c r="F16" s="236">
        <v>8.39</v>
      </c>
      <c r="G16" s="27">
        <v>890.49</v>
      </c>
      <c r="H16" s="179">
        <f>ROUND(F16*G16,2)</f>
        <v>7471.21</v>
      </c>
      <c r="I16" s="237">
        <v>0.2</v>
      </c>
      <c r="J16" s="180">
        <f>ROUND(F16*G16*I16,2)</f>
        <v>1494.24</v>
      </c>
      <c r="K16" s="178">
        <f t="shared" si="0"/>
        <v>0.2</v>
      </c>
      <c r="L16" s="179">
        <f t="shared" si="0"/>
        <v>1494.24</v>
      </c>
    </row>
    <row r="17" spans="1:12" s="231" customFormat="1" ht="30" customHeight="1">
      <c r="A17" s="232" t="s">
        <v>206</v>
      </c>
      <c r="B17" s="238" t="s">
        <v>67</v>
      </c>
      <c r="C17" s="234" t="s">
        <v>66</v>
      </c>
      <c r="D17" s="25" t="s">
        <v>28</v>
      </c>
      <c r="E17" s="235" t="s">
        <v>17</v>
      </c>
      <c r="F17" s="236">
        <v>3.83</v>
      </c>
      <c r="G17" s="27">
        <v>127.5</v>
      </c>
      <c r="H17" s="179">
        <f>ROUND(F17*G17,2)</f>
        <v>488.33</v>
      </c>
      <c r="I17" s="237">
        <v>0.2</v>
      </c>
      <c r="J17" s="180">
        <f>ROUND(F17*G17*I17,2)</f>
        <v>97.67</v>
      </c>
      <c r="K17" s="178">
        <f t="shared" si="0"/>
        <v>0.2</v>
      </c>
      <c r="L17" s="179">
        <f t="shared" si="0"/>
        <v>97.67</v>
      </c>
    </row>
    <row r="18" spans="1:12" s="231" customFormat="1" ht="15" customHeight="1">
      <c r="A18" s="227"/>
      <c r="B18" s="239"/>
      <c r="C18" s="240">
        <v>2</v>
      </c>
      <c r="D18" s="241" t="s">
        <v>207</v>
      </c>
      <c r="E18" s="242"/>
      <c r="F18" s="243"/>
      <c r="G18" s="241"/>
      <c r="H18" s="244"/>
      <c r="I18" s="245"/>
      <c r="J18" s="246"/>
      <c r="K18" s="247"/>
      <c r="L18" s="247"/>
    </row>
    <row r="19" spans="1:12" s="231" customFormat="1" ht="15" customHeight="1">
      <c r="A19" s="248" t="s">
        <v>208</v>
      </c>
      <c r="B19" s="238" t="s">
        <v>69</v>
      </c>
      <c r="C19" s="234" t="s">
        <v>19</v>
      </c>
      <c r="D19" s="38" t="s">
        <v>209</v>
      </c>
      <c r="E19" s="235" t="s">
        <v>210</v>
      </c>
      <c r="F19" s="236">
        <v>125.97</v>
      </c>
      <c r="G19" s="249">
        <v>133</v>
      </c>
      <c r="H19" s="179">
        <f>ROUND(F19*G19,2)</f>
        <v>16754.009999999998</v>
      </c>
      <c r="I19" s="237">
        <v>0.35</v>
      </c>
      <c r="J19" s="180">
        <f>ROUND(F19*G19*I19,2)</f>
        <v>5863.9</v>
      </c>
      <c r="K19" s="250"/>
      <c r="L19" s="179">
        <f>J19</f>
        <v>5863.9</v>
      </c>
    </row>
    <row r="20" spans="1:12" s="231" customFormat="1" ht="15" customHeight="1">
      <c r="A20" s="248" t="s">
        <v>208</v>
      </c>
      <c r="B20" s="238" t="s">
        <v>211</v>
      </c>
      <c r="C20" s="234" t="s">
        <v>23</v>
      </c>
      <c r="D20" s="38" t="s">
        <v>212</v>
      </c>
      <c r="E20" s="235" t="s">
        <v>210</v>
      </c>
      <c r="F20" s="236">
        <v>298.64999999999998</v>
      </c>
      <c r="G20" s="249">
        <f>450-90-90</f>
        <v>270</v>
      </c>
      <c r="H20" s="179">
        <f>ROUND(F20*G20,2)</f>
        <v>80635.5</v>
      </c>
      <c r="I20" s="237">
        <v>0.5</v>
      </c>
      <c r="J20" s="180">
        <f>ROUND(F20*G20*I20,2)</f>
        <v>40317.75</v>
      </c>
      <c r="K20" s="250"/>
      <c r="L20" s="179">
        <f>J20</f>
        <v>40317.75</v>
      </c>
    </row>
    <row r="21" spans="1:12" s="231" customFormat="1" ht="15" customHeight="1">
      <c r="A21" s="248" t="s">
        <v>208</v>
      </c>
      <c r="B21" s="238" t="s">
        <v>213</v>
      </c>
      <c r="C21" s="234" t="s">
        <v>26</v>
      </c>
      <c r="D21" s="38" t="s">
        <v>214</v>
      </c>
      <c r="E21" s="235" t="s">
        <v>210</v>
      </c>
      <c r="F21" s="236">
        <v>651.34</v>
      </c>
      <c r="G21" s="249">
        <v>20</v>
      </c>
      <c r="H21" s="179">
        <f>ROUND(F21*G21,2)</f>
        <v>13026.8</v>
      </c>
      <c r="I21" s="237">
        <v>1</v>
      </c>
      <c r="J21" s="180">
        <f>ROUND(F21*G21*I21,2)</f>
        <v>13026.8</v>
      </c>
      <c r="K21" s="250"/>
      <c r="L21" s="179">
        <f>J21</f>
        <v>13026.8</v>
      </c>
    </row>
    <row r="22" spans="1:12" s="231" customFormat="1" ht="15" customHeight="1">
      <c r="A22" s="227"/>
      <c r="B22" s="239"/>
      <c r="C22" s="251">
        <v>3</v>
      </c>
      <c r="D22" s="252" t="s">
        <v>215</v>
      </c>
      <c r="E22" s="252"/>
      <c r="F22" s="253"/>
      <c r="G22" s="252"/>
      <c r="H22" s="244"/>
      <c r="I22" s="245"/>
      <c r="J22" s="246"/>
      <c r="K22" s="247"/>
      <c r="L22" s="247"/>
    </row>
    <row r="23" spans="1:12" s="231" customFormat="1" ht="74.25" customHeight="1">
      <c r="A23" s="232" t="s">
        <v>203</v>
      </c>
      <c r="B23" s="238" t="s">
        <v>73</v>
      </c>
      <c r="C23" s="234" t="s">
        <v>30</v>
      </c>
      <c r="D23" s="38" t="s">
        <v>43</v>
      </c>
      <c r="E23" s="254" t="s">
        <v>44</v>
      </c>
      <c r="F23" s="236">
        <v>1668.31</v>
      </c>
      <c r="G23" s="254">
        <v>5</v>
      </c>
      <c r="H23" s="179">
        <f>ROUND(F23*G23,2)</f>
        <v>8341.5499999999993</v>
      </c>
      <c r="I23" s="237"/>
      <c r="J23" s="180">
        <f>ROUND(F23*G23*I23,2)</f>
        <v>0</v>
      </c>
      <c r="K23" s="250"/>
      <c r="L23" s="179">
        <f>J23</f>
        <v>0</v>
      </c>
    </row>
    <row r="24" spans="1:12" s="231" customFormat="1" ht="77.25" customHeight="1">
      <c r="A24" s="232" t="s">
        <v>203</v>
      </c>
      <c r="B24" s="238" t="s">
        <v>216</v>
      </c>
      <c r="C24" s="234" t="s">
        <v>34</v>
      </c>
      <c r="D24" s="38" t="s">
        <v>47</v>
      </c>
      <c r="E24" s="254" t="s">
        <v>44</v>
      </c>
      <c r="F24" s="236">
        <v>2389.34</v>
      </c>
      <c r="G24" s="254">
        <f>4-2-1+4+4+2+1+1+1</f>
        <v>14</v>
      </c>
      <c r="H24" s="179">
        <f>ROUND(F24*G24,2)</f>
        <v>33450.76</v>
      </c>
      <c r="I24" s="237"/>
      <c r="J24" s="180">
        <f>ROUND(F24*G24*I24,2)</f>
        <v>0</v>
      </c>
      <c r="K24" s="250"/>
      <c r="L24" s="179">
        <f>J24</f>
        <v>0</v>
      </c>
    </row>
    <row r="25" spans="1:12" s="231" customFormat="1" ht="15.75" customHeight="1">
      <c r="A25" s="227"/>
      <c r="B25" s="239"/>
      <c r="C25" s="251">
        <v>4</v>
      </c>
      <c r="D25" s="252" t="s">
        <v>217</v>
      </c>
      <c r="E25" s="252"/>
      <c r="F25" s="253"/>
      <c r="G25" s="252"/>
      <c r="H25" s="244"/>
      <c r="I25" s="245"/>
      <c r="J25" s="246"/>
      <c r="K25" s="247"/>
      <c r="L25" s="247"/>
    </row>
    <row r="26" spans="1:12" s="231" customFormat="1" ht="77.25" customHeight="1">
      <c r="A26" s="232" t="s">
        <v>203</v>
      </c>
      <c r="B26" s="238" t="s">
        <v>74</v>
      </c>
      <c r="C26" s="234" t="s">
        <v>41</v>
      </c>
      <c r="D26" s="25" t="s">
        <v>50</v>
      </c>
      <c r="E26" s="254" t="s">
        <v>44</v>
      </c>
      <c r="F26" s="236">
        <v>3318.31</v>
      </c>
      <c r="G26" s="254">
        <f>5-1</f>
        <v>4</v>
      </c>
      <c r="H26" s="179">
        <f>ROUND(F26*G26,2)</f>
        <v>13273.24</v>
      </c>
      <c r="I26" s="237">
        <v>0.25</v>
      </c>
      <c r="J26" s="180">
        <f>ROUND(F26*G26*I26,2)</f>
        <v>3318.31</v>
      </c>
      <c r="K26" s="250"/>
      <c r="L26" s="179">
        <f>J26</f>
        <v>3318.31</v>
      </c>
    </row>
    <row r="27" spans="1:12" s="231" customFormat="1" ht="15" customHeight="1">
      <c r="C27" s="255"/>
      <c r="D27" s="256"/>
      <c r="E27" s="256"/>
      <c r="F27" s="257"/>
      <c r="G27" s="258"/>
      <c r="I27" s="259"/>
      <c r="J27" s="260"/>
    </row>
    <row r="28" spans="1:12" s="231" customFormat="1">
      <c r="A28" s="261"/>
      <c r="B28" s="261"/>
      <c r="C28" s="398" t="s">
        <v>131</v>
      </c>
      <c r="D28" s="398"/>
      <c r="E28" s="398"/>
      <c r="F28" s="398"/>
      <c r="G28" s="262"/>
      <c r="H28" s="263">
        <f>SUM(H15:H26)</f>
        <v>180592.44</v>
      </c>
      <c r="I28" s="264">
        <f>J28/H28</f>
        <v>0.36296580299817649</v>
      </c>
      <c r="J28" s="265">
        <f>SUM(J15:J26)</f>
        <v>65548.88</v>
      </c>
      <c r="K28" s="266">
        <f>L28/H28</f>
        <v>0.36296580299817649</v>
      </c>
      <c r="L28" s="267">
        <f>SUM(L15:L26)</f>
        <v>65548.88</v>
      </c>
    </row>
    <row r="29" spans="1:12" s="268" customFormat="1" ht="15">
      <c r="C29" s="269"/>
      <c r="F29" s="270"/>
      <c r="G29" s="270"/>
      <c r="J29" s="271"/>
    </row>
    <row r="31" spans="1:12" ht="15.75" customHeight="1">
      <c r="D31" s="399" t="s">
        <v>183</v>
      </c>
      <c r="E31" s="272"/>
      <c r="F31" s="272"/>
      <c r="G31" s="273"/>
      <c r="H31" s="274"/>
      <c r="I31" s="274"/>
      <c r="J31" s="275"/>
      <c r="K31" s="275"/>
    </row>
    <row r="32" spans="1:12">
      <c r="D32" s="399"/>
      <c r="E32" s="181" t="s">
        <v>184</v>
      </c>
      <c r="F32" s="181" t="s">
        <v>136</v>
      </c>
      <c r="G32" s="276" t="s">
        <v>157</v>
      </c>
      <c r="H32" s="277"/>
      <c r="I32" s="277"/>
      <c r="J32" s="275"/>
      <c r="K32" s="275"/>
    </row>
    <row r="33" spans="2:11">
      <c r="B33" s="220"/>
      <c r="C33" s="278"/>
      <c r="D33" s="279" t="s">
        <v>189</v>
      </c>
      <c r="E33" s="182">
        <v>40976</v>
      </c>
      <c r="F33" s="183">
        <f>I28</f>
        <v>0.36296580299817649</v>
      </c>
      <c r="G33" s="280">
        <f>J28</f>
        <v>65548.88</v>
      </c>
      <c r="H33" s="281"/>
      <c r="I33" s="281"/>
      <c r="J33" s="275"/>
      <c r="K33" s="275"/>
    </row>
    <row r="34" spans="2:11">
      <c r="B34" s="220"/>
      <c r="C34" s="278"/>
      <c r="D34" s="282" t="s">
        <v>185</v>
      </c>
      <c r="E34" s="184"/>
      <c r="F34" s="185">
        <f>K28</f>
        <v>0.36296580299817649</v>
      </c>
      <c r="G34" s="283">
        <f>SUM(G33:I33)</f>
        <v>65548.88</v>
      </c>
      <c r="H34" s="284"/>
      <c r="I34" s="284"/>
      <c r="J34" s="285"/>
      <c r="K34" s="285"/>
    </row>
    <row r="35" spans="2:11">
      <c r="D35" s="286" t="s">
        <v>186</v>
      </c>
      <c r="E35" s="287"/>
      <c r="F35" s="288">
        <f>G35/H28</f>
        <v>0.63703419700182351</v>
      </c>
      <c r="G35" s="289">
        <f>H28-G34</f>
        <v>115043.56</v>
      </c>
      <c r="H35" s="284"/>
      <c r="I35" s="284"/>
      <c r="J35" s="285"/>
      <c r="K35" s="285"/>
    </row>
    <row r="36" spans="2:11">
      <c r="D36" s="290"/>
      <c r="E36" s="275"/>
      <c r="F36" s="291"/>
      <c r="G36" s="274"/>
      <c r="H36" s="274"/>
      <c r="I36" s="274"/>
      <c r="J36" s="275"/>
      <c r="K36" s="275"/>
    </row>
    <row r="37" spans="2:11">
      <c r="D37" s="290"/>
      <c r="E37" s="292"/>
      <c r="F37" s="275"/>
      <c r="G37" s="275"/>
      <c r="H37" s="275"/>
      <c r="I37" s="275"/>
      <c r="J37" s="293"/>
      <c r="K37" s="275"/>
    </row>
    <row r="38" spans="2:11">
      <c r="D38" s="290"/>
      <c r="E38" s="292"/>
      <c r="F38" s="275"/>
      <c r="G38" s="217"/>
      <c r="H38" s="275"/>
      <c r="I38" s="275" t="s">
        <v>218</v>
      </c>
      <c r="J38" s="275"/>
      <c r="K38" s="275"/>
    </row>
  </sheetData>
  <mergeCells count="2">
    <mergeCell ref="C28:F28"/>
    <mergeCell ref="D31:D32"/>
  </mergeCells>
  <pageMargins left="0.31527777777777799" right="0.118055555555556" top="0.59027777777777801" bottom="0.59027777777777801" header="0.51180555555555496" footer="0.118055555555556"/>
  <pageSetup paperSize="9" firstPageNumber="0" orientation="landscape" horizontalDpi="300" verticalDpi="300" r:id="rId1"/>
  <headerFooter>
    <oddFooter>&amp;R&amp;P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2"/>
  <sheetViews>
    <sheetView view="pageBreakPreview" workbookViewId="0">
      <selection activeCell="F11" sqref="F11"/>
    </sheetView>
  </sheetViews>
  <sheetFormatPr defaultRowHeight="15"/>
  <cols>
    <col min="1" max="1" width="8.7109375" customWidth="1"/>
    <col min="2" max="2" width="38.42578125" customWidth="1"/>
    <col min="3" max="1025" width="8.7109375" customWidth="1"/>
  </cols>
  <sheetData>
    <row r="1" spans="1:4">
      <c r="A1" s="400" t="s">
        <v>4</v>
      </c>
      <c r="B1" s="400" t="s">
        <v>7</v>
      </c>
      <c r="C1" s="400" t="s">
        <v>8</v>
      </c>
      <c r="D1" s="400" t="s">
        <v>9</v>
      </c>
    </row>
    <row r="2" spans="1:4">
      <c r="A2" s="400"/>
      <c r="B2" s="400"/>
      <c r="C2" s="400"/>
      <c r="D2" s="400"/>
    </row>
    <row r="3" spans="1:4">
      <c r="A3" s="294">
        <v>1</v>
      </c>
      <c r="B3" s="295" t="s">
        <v>18</v>
      </c>
      <c r="C3" s="296"/>
      <c r="D3" s="297"/>
    </row>
    <row r="4" spans="1:4" ht="65.25" customHeight="1">
      <c r="A4" s="298" t="s">
        <v>14</v>
      </c>
      <c r="B4" s="299" t="s">
        <v>62</v>
      </c>
      <c r="C4" s="296">
        <v>936</v>
      </c>
      <c r="D4" s="297" t="s">
        <v>22</v>
      </c>
    </row>
    <row r="5" spans="1:4" ht="77.25" customHeight="1">
      <c r="A5" s="298" t="s">
        <v>63</v>
      </c>
      <c r="B5" s="299" t="s">
        <v>25</v>
      </c>
      <c r="C5" s="296">
        <v>890.49</v>
      </c>
      <c r="D5" s="297" t="s">
        <v>22</v>
      </c>
    </row>
    <row r="6" spans="1:4" ht="33.75" customHeight="1">
      <c r="A6" s="298" t="s">
        <v>66</v>
      </c>
      <c r="B6" s="299" t="s">
        <v>28</v>
      </c>
      <c r="C6" s="296">
        <v>127.5</v>
      </c>
      <c r="D6" s="297" t="s">
        <v>17</v>
      </c>
    </row>
    <row r="7" spans="1:4">
      <c r="A7" s="294">
        <v>2</v>
      </c>
      <c r="B7" s="295" t="s">
        <v>29</v>
      </c>
      <c r="C7" s="296"/>
      <c r="D7" s="297"/>
    </row>
    <row r="8" spans="1:4">
      <c r="A8" s="298" t="s">
        <v>19</v>
      </c>
      <c r="B8" s="297" t="s">
        <v>32</v>
      </c>
      <c r="C8" s="296">
        <v>28</v>
      </c>
      <c r="D8" s="297" t="s">
        <v>33</v>
      </c>
    </row>
    <row r="9" spans="1:4">
      <c r="A9" s="298" t="s">
        <v>23</v>
      </c>
      <c r="B9" s="300" t="s">
        <v>71</v>
      </c>
      <c r="C9" s="296">
        <v>180</v>
      </c>
      <c r="D9" s="297" t="s">
        <v>33</v>
      </c>
    </row>
    <row r="10" spans="1:4">
      <c r="A10" s="301">
        <v>3</v>
      </c>
      <c r="B10" s="295" t="s">
        <v>219</v>
      </c>
      <c r="C10" s="296"/>
      <c r="D10" s="297"/>
    </row>
    <row r="11" spans="1:4" ht="92.25" customHeight="1">
      <c r="A11" s="298" t="s">
        <v>30</v>
      </c>
      <c r="B11" s="302" t="s">
        <v>43</v>
      </c>
      <c r="C11" s="296">
        <v>4</v>
      </c>
      <c r="D11" s="303" t="s">
        <v>44</v>
      </c>
    </row>
    <row r="12" spans="1:4" ht="90.75" customHeight="1">
      <c r="A12" s="298" t="s">
        <v>34</v>
      </c>
      <c r="B12" s="10" t="s">
        <v>50</v>
      </c>
      <c r="C12" s="296">
        <v>2</v>
      </c>
      <c r="D12" s="303" t="s">
        <v>44</v>
      </c>
    </row>
  </sheetData>
  <mergeCells count="4">
    <mergeCell ref="A1:A2"/>
    <mergeCell ref="B1:B2"/>
    <mergeCell ref="C1:C2"/>
    <mergeCell ref="D1:D2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</vt:i4>
      </vt:variant>
    </vt:vector>
  </HeadingPairs>
  <TitlesOfParts>
    <vt:vector size="15" baseType="lpstr">
      <vt:lpstr>Plan1</vt:lpstr>
      <vt:lpstr>ORÇ.ORIGINAL</vt:lpstr>
      <vt:lpstr>memorial</vt:lpstr>
      <vt:lpstr>ORÇ</vt:lpstr>
      <vt:lpstr>cron.erplan</vt:lpstr>
      <vt:lpstr>CRONO.LIC</vt:lpstr>
      <vt:lpstr>BM.1</vt:lpstr>
      <vt:lpstr>BM 1</vt:lpstr>
      <vt:lpstr>orç na prancha</vt:lpstr>
      <vt:lpstr>memorial!Area_de_impressao</vt:lpstr>
      <vt:lpstr>ORÇ!Area_de_impressao</vt:lpstr>
      <vt:lpstr>memorial!Print_Area_0</vt:lpstr>
      <vt:lpstr>memorial!Print_Area_0_0</vt:lpstr>
      <vt:lpstr>'BM 1'!Print_Titles_0_0</vt:lpstr>
      <vt:lpstr>ORÇ!Titulos_de_impressao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ENG</cp:lastModifiedBy>
  <cp:revision>15</cp:revision>
  <cp:lastPrinted>2019-11-21T11:28:22Z</cp:lastPrinted>
  <dcterms:created xsi:type="dcterms:W3CDTF">2011-09-30T19:25:41Z</dcterms:created>
  <dcterms:modified xsi:type="dcterms:W3CDTF">2020-01-07T12:04:26Z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