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Pc\Documents\ENGENHARIA\Saúde\Reparos out2020\"/>
    </mc:Choice>
  </mc:AlternateContent>
  <bookViews>
    <workbookView xWindow="0" yWindow="0" windowWidth="16380" windowHeight="8190" tabRatio="500" firstSheet="2" activeTab="2"/>
  </bookViews>
  <sheets>
    <sheet name="Plan1" sheetId="1" state="hidden" r:id="rId1"/>
    <sheet name="ORÇ.ORIGINAL" sheetId="2" state="hidden" r:id="rId2"/>
    <sheet name="ORÇ licitação" sheetId="16" r:id="rId3"/>
    <sheet name="ORÇ empresa" sheetId="15" r:id="rId4"/>
    <sheet name="ORÇ" sheetId="4" r:id="rId5"/>
    <sheet name="cron.erplan" sheetId="5" state="hidden" r:id="rId6"/>
    <sheet name="CRONO.LIC" sheetId="7" r:id="rId7"/>
    <sheet name="BM.1" sheetId="11" state="hidden" r:id="rId8"/>
    <sheet name="BM 1" sheetId="12" state="hidden" r:id="rId9"/>
    <sheet name="orç na prancha" sheetId="13" state="hidden" r:id="rId10"/>
  </sheets>
  <definedNames>
    <definedName name="_xlnm.Print_Area" localSheetId="6">CRONO.LIC!$A$1:$L$25</definedName>
    <definedName name="_xlnm.Print_Area" localSheetId="4">ORÇ!$A$1:$H$72</definedName>
    <definedName name="_xlnm.Print_Area" localSheetId="3">'ORÇ empresa'!$A$1:$H$72</definedName>
    <definedName name="_xlnm.Print_Area" localSheetId="2">'ORÇ licitação'!$A$1:$H$62</definedName>
    <definedName name="Print_Titles_0_0" localSheetId="8">'BM 1'!$A:$H,'BM 1'!$2:$13</definedName>
    <definedName name="_xlnm.Print_Titles" localSheetId="4">ORÇ!$A:$H,ORÇ!$1:$17</definedName>
    <definedName name="_xlnm.Print_Titles" localSheetId="3">'ORÇ empresa'!$A:$H,'ORÇ empresa'!$1:$17</definedName>
    <definedName name="_xlnm.Print_Titles" localSheetId="2">'ORÇ licitação'!$A:$H,'ORÇ licitação'!$1:$17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2" i="16" l="1"/>
  <c r="F61" i="16"/>
  <c r="G58" i="16"/>
  <c r="E58" i="16"/>
  <c r="H58" i="16" s="1"/>
  <c r="G57" i="16"/>
  <c r="H57" i="16" s="1"/>
  <c r="G56" i="16"/>
  <c r="H56" i="16" s="1"/>
  <c r="G53" i="16"/>
  <c r="H53" i="16" s="1"/>
  <c r="G52" i="16"/>
  <c r="E52" i="16"/>
  <c r="G51" i="16"/>
  <c r="E51" i="16"/>
  <c r="G48" i="16"/>
  <c r="H48" i="16" s="1"/>
  <c r="G47" i="16"/>
  <c r="E47" i="16"/>
  <c r="G46" i="16"/>
  <c r="E46" i="16"/>
  <c r="G45" i="16"/>
  <c r="E45" i="16"/>
  <c r="G44" i="16"/>
  <c r="H44" i="16" s="1"/>
  <c r="G41" i="16"/>
  <c r="E41" i="16"/>
  <c r="G40" i="16"/>
  <c r="E40" i="16"/>
  <c r="G39" i="16"/>
  <c r="E39" i="16"/>
  <c r="G38" i="16"/>
  <c r="H38" i="16" s="1"/>
  <c r="G37" i="16"/>
  <c r="H37" i="16" s="1"/>
  <c r="G34" i="16"/>
  <c r="E34" i="16"/>
  <c r="G33" i="16"/>
  <c r="E33" i="16"/>
  <c r="G32" i="16"/>
  <c r="E32" i="16"/>
  <c r="G31" i="16"/>
  <c r="H31" i="16" s="1"/>
  <c r="G30" i="16"/>
  <c r="H30" i="16" s="1"/>
  <c r="G27" i="16"/>
  <c r="E27" i="16"/>
  <c r="G26" i="16"/>
  <c r="E26" i="16"/>
  <c r="G25" i="16"/>
  <c r="H25" i="16" s="1"/>
  <c r="G22" i="16"/>
  <c r="E22" i="16"/>
  <c r="G21" i="16"/>
  <c r="H21" i="16" s="1"/>
  <c r="G20" i="16"/>
  <c r="E20" i="16"/>
  <c r="G67" i="15"/>
  <c r="E68" i="15"/>
  <c r="G68" i="15"/>
  <c r="H27" i="16" l="1"/>
  <c r="H22" i="16"/>
  <c r="H34" i="16"/>
  <c r="H41" i="16"/>
  <c r="H47" i="16"/>
  <c r="H46" i="16"/>
  <c r="H26" i="16"/>
  <c r="H33" i="16"/>
  <c r="H52" i="16"/>
  <c r="H39" i="16"/>
  <c r="H40" i="16"/>
  <c r="H20" i="16"/>
  <c r="H32" i="16"/>
  <c r="H45" i="16"/>
  <c r="G55" i="16"/>
  <c r="H51" i="16"/>
  <c r="B14" i="7"/>
  <c r="F24" i="16" l="1"/>
  <c r="G43" i="16"/>
  <c r="F50" i="16"/>
  <c r="F19" i="16"/>
  <c r="G29" i="16"/>
  <c r="G36" i="16"/>
  <c r="H61" i="16"/>
  <c r="G72" i="15"/>
  <c r="F71" i="15"/>
  <c r="G66" i="15"/>
  <c r="E66" i="15"/>
  <c r="H66" i="15" s="1"/>
  <c r="G65" i="15"/>
  <c r="H65" i="15" s="1"/>
  <c r="G64" i="15"/>
  <c r="H64" i="15" s="1"/>
  <c r="G61" i="15"/>
  <c r="G60" i="15"/>
  <c r="G59" i="15"/>
  <c r="H59" i="15" s="1"/>
  <c r="G58" i="15"/>
  <c r="E58" i="15"/>
  <c r="G57" i="15"/>
  <c r="E57" i="15"/>
  <c r="E60" i="15" s="1"/>
  <c r="G54" i="15"/>
  <c r="G53" i="15"/>
  <c r="H53" i="15"/>
  <c r="G52" i="15"/>
  <c r="E52" i="15"/>
  <c r="G51" i="15"/>
  <c r="E51" i="15"/>
  <c r="H51" i="15" s="1"/>
  <c r="G50" i="15"/>
  <c r="E50" i="15"/>
  <c r="G49" i="15"/>
  <c r="H49" i="15" s="1"/>
  <c r="G46" i="15"/>
  <c r="G45" i="15"/>
  <c r="E45" i="15"/>
  <c r="G44" i="15"/>
  <c r="E44" i="15"/>
  <c r="H44" i="15" s="1"/>
  <c r="G43" i="15"/>
  <c r="E43" i="15"/>
  <c r="H43" i="15" s="1"/>
  <c r="G42" i="15"/>
  <c r="H42" i="15" s="1"/>
  <c r="G41" i="15"/>
  <c r="H41" i="15" s="1"/>
  <c r="G38" i="15"/>
  <c r="G37" i="15"/>
  <c r="E37" i="15"/>
  <c r="G36" i="15"/>
  <c r="E36" i="15"/>
  <c r="G35" i="15"/>
  <c r="E35" i="15"/>
  <c r="G34" i="15"/>
  <c r="H34" i="15" s="1"/>
  <c r="G33" i="15"/>
  <c r="H33" i="15" s="1"/>
  <c r="G30" i="15"/>
  <c r="G29" i="15"/>
  <c r="E29" i="15"/>
  <c r="H29" i="15" s="1"/>
  <c r="G28" i="15"/>
  <c r="E28" i="15"/>
  <c r="G27" i="15"/>
  <c r="H27" i="15" s="1"/>
  <c r="G24" i="15"/>
  <c r="G23" i="15"/>
  <c r="G22" i="15"/>
  <c r="E22" i="15"/>
  <c r="G21" i="15"/>
  <c r="H21" i="15" s="1"/>
  <c r="G20" i="15"/>
  <c r="E20" i="15"/>
  <c r="H71" i="4"/>
  <c r="G72" i="4"/>
  <c r="E66" i="4"/>
  <c r="G66" i="4"/>
  <c r="H66" i="4" s="1"/>
  <c r="E68" i="4"/>
  <c r="G68" i="4"/>
  <c r="G67" i="4"/>
  <c r="H67" i="4" s="1"/>
  <c r="G65" i="4"/>
  <c r="H65" i="4" s="1"/>
  <c r="G64" i="4"/>
  <c r="H64" i="4" s="1"/>
  <c r="E58" i="4"/>
  <c r="E57" i="4"/>
  <c r="E60" i="4" s="1"/>
  <c r="G61" i="4"/>
  <c r="H61" i="4" s="1"/>
  <c r="G60" i="4"/>
  <c r="G58" i="4"/>
  <c r="G59" i="4"/>
  <c r="H59" i="4" s="1"/>
  <c r="G57" i="4"/>
  <c r="E53" i="4"/>
  <c r="E52" i="4"/>
  <c r="E51" i="4"/>
  <c r="E50" i="4"/>
  <c r="G54" i="4"/>
  <c r="H54" i="4" s="1"/>
  <c r="G53" i="4"/>
  <c r="G52" i="4"/>
  <c r="G51" i="4"/>
  <c r="G50" i="4"/>
  <c r="G49" i="4"/>
  <c r="H49" i="4" s="1"/>
  <c r="E45" i="4"/>
  <c r="E37" i="4"/>
  <c r="E35" i="4"/>
  <c r="E43" i="4"/>
  <c r="H22" i="15" l="1"/>
  <c r="H35" i="15"/>
  <c r="E30" i="15"/>
  <c r="H36" i="15"/>
  <c r="H37" i="15"/>
  <c r="E23" i="15"/>
  <c r="H57" i="15"/>
  <c r="H20" i="15"/>
  <c r="F19" i="15" s="1"/>
  <c r="H28" i="15"/>
  <c r="G40" i="15"/>
  <c r="H45" i="15"/>
  <c r="H50" i="15"/>
  <c r="G48" i="15" s="1"/>
  <c r="H52" i="15"/>
  <c r="H58" i="15"/>
  <c r="F26" i="15"/>
  <c r="G32" i="15"/>
  <c r="G63" i="15"/>
  <c r="H60" i="4"/>
  <c r="H68" i="4"/>
  <c r="G63" i="4" s="1"/>
  <c r="H57" i="4"/>
  <c r="H58" i="4"/>
  <c r="H52" i="4"/>
  <c r="H50" i="4"/>
  <c r="H53" i="4"/>
  <c r="H51" i="4"/>
  <c r="G46" i="4"/>
  <c r="H46" i="4" s="1"/>
  <c r="G45" i="4"/>
  <c r="H45" i="4" s="1"/>
  <c r="G44" i="4"/>
  <c r="E44" i="4"/>
  <c r="G43" i="4"/>
  <c r="H43" i="4" s="1"/>
  <c r="G42" i="4"/>
  <c r="H42" i="4" s="1"/>
  <c r="G41" i="4"/>
  <c r="H41" i="4" s="1"/>
  <c r="E36" i="4"/>
  <c r="G37" i="4"/>
  <c r="G36" i="4"/>
  <c r="G35" i="4"/>
  <c r="G38" i="4"/>
  <c r="H38" i="4" s="1"/>
  <c r="G34" i="4"/>
  <c r="H34" i="4" s="1"/>
  <c r="E29" i="4"/>
  <c r="E28" i="4"/>
  <c r="E22" i="4"/>
  <c r="E20" i="4"/>
  <c r="G30" i="4"/>
  <c r="G29" i="4"/>
  <c r="G28" i="4"/>
  <c r="G21" i="4"/>
  <c r="H21" i="4" s="1"/>
  <c r="H71" i="15" l="1"/>
  <c r="D20" i="7"/>
  <c r="L14" i="7"/>
  <c r="F56" i="15"/>
  <c r="F56" i="4"/>
  <c r="G48" i="4"/>
  <c r="H44" i="4"/>
  <c r="G40" i="4" s="1"/>
  <c r="H28" i="4"/>
  <c r="H37" i="4"/>
  <c r="H36" i="4"/>
  <c r="H35" i="4"/>
  <c r="E30" i="4"/>
  <c r="H30" i="4" s="1"/>
  <c r="E23" i="4"/>
  <c r="H29" i="4"/>
  <c r="G20" i="4"/>
  <c r="H20" i="4" s="1"/>
  <c r="F71" i="4" l="1"/>
  <c r="G33" i="4"/>
  <c r="G27" i="4"/>
  <c r="H27" i="4" s="1"/>
  <c r="F26" i="4" s="1"/>
  <c r="H33" i="4" l="1"/>
  <c r="G32" i="4" s="1"/>
  <c r="G22" i="4" l="1"/>
  <c r="G23" i="4"/>
  <c r="G24" i="4"/>
  <c r="H22" i="4" l="1"/>
  <c r="H24" i="4"/>
  <c r="H23" i="4" l="1"/>
  <c r="G26" i="12"/>
  <c r="J26" i="12" s="1"/>
  <c r="L26" i="12" s="1"/>
  <c r="G24" i="12"/>
  <c r="J24" i="12" s="1"/>
  <c r="L24" i="12" s="1"/>
  <c r="J23" i="12"/>
  <c r="L23" i="12" s="1"/>
  <c r="H23" i="12"/>
  <c r="J21" i="12"/>
  <c r="L21" i="12" s="1"/>
  <c r="H21" i="12"/>
  <c r="H20" i="12"/>
  <c r="G20" i="12"/>
  <c r="J20" i="12" s="1"/>
  <c r="L20" i="12" s="1"/>
  <c r="L19" i="12"/>
  <c r="J19" i="12"/>
  <c r="H19" i="12"/>
  <c r="K17" i="12"/>
  <c r="J17" i="12"/>
  <c r="L17" i="12" s="1"/>
  <c r="H17" i="12"/>
  <c r="K16" i="12"/>
  <c r="J16" i="12"/>
  <c r="L16" i="12" s="1"/>
  <c r="H16" i="12"/>
  <c r="K15" i="12"/>
  <c r="G15" i="12"/>
  <c r="H15" i="12" s="1"/>
  <c r="J33" i="11"/>
  <c r="F33" i="11"/>
  <c r="E33" i="11"/>
  <c r="J32" i="11"/>
  <c r="F32" i="11"/>
  <c r="J31" i="11"/>
  <c r="F31" i="11"/>
  <c r="E30" i="11"/>
  <c r="E28" i="11"/>
  <c r="E29" i="11" s="1"/>
  <c r="E32" i="11" s="1"/>
  <c r="G32" i="11" s="1"/>
  <c r="E27" i="11"/>
  <c r="J25" i="11"/>
  <c r="F25" i="11"/>
  <c r="G25" i="11" s="1"/>
  <c r="I25" i="11" s="1"/>
  <c r="J24" i="11"/>
  <c r="F24" i="11"/>
  <c r="G24" i="11" s="1"/>
  <c r="J22" i="11"/>
  <c r="F22" i="11"/>
  <c r="G22" i="11" s="1"/>
  <c r="J21" i="11"/>
  <c r="F21" i="11"/>
  <c r="G21" i="11" s="1"/>
  <c r="J19" i="11"/>
  <c r="F19" i="11"/>
  <c r="G19" i="11" s="1"/>
  <c r="J18" i="11"/>
  <c r="F18" i="11"/>
  <c r="G18" i="11" s="1"/>
  <c r="J17" i="11"/>
  <c r="F17" i="11"/>
  <c r="E17" i="11"/>
  <c r="H29" i="5"/>
  <c r="D26" i="5"/>
  <c r="H26" i="5" s="1"/>
  <c r="B25" i="5"/>
  <c r="D24" i="5"/>
  <c r="H24" i="5" s="1"/>
  <c r="D23" i="5"/>
  <c r="B23" i="5"/>
  <c r="D22" i="5"/>
  <c r="H22" i="5" s="1"/>
  <c r="D21" i="5"/>
  <c r="B21" i="5"/>
  <c r="D20" i="5"/>
  <c r="B19" i="5"/>
  <c r="F36" i="2"/>
  <c r="G36" i="2" s="1"/>
  <c r="F35" i="2"/>
  <c r="G35" i="2" s="1"/>
  <c r="F34" i="2"/>
  <c r="G34" i="2" s="1"/>
  <c r="F33" i="2"/>
  <c r="G33" i="2" s="1"/>
  <c r="E33" i="2"/>
  <c r="F32" i="2"/>
  <c r="G32" i="2" s="1"/>
  <c r="F31" i="2"/>
  <c r="G31" i="2" s="1"/>
  <c r="E31" i="2"/>
  <c r="F30" i="2"/>
  <c r="G30" i="2" s="1"/>
  <c r="E30" i="2"/>
  <c r="F29" i="2"/>
  <c r="G29" i="2" s="1"/>
  <c r="E29" i="2"/>
  <c r="F28" i="2"/>
  <c r="G28" i="2" s="1"/>
  <c r="E28" i="2"/>
  <c r="F27" i="2"/>
  <c r="E27" i="2"/>
  <c r="F25" i="2"/>
  <c r="G25" i="2" s="1"/>
  <c r="F24" i="2"/>
  <c r="G24" i="2" s="1"/>
  <c r="F22" i="2"/>
  <c r="G22" i="2" s="1"/>
  <c r="F21" i="2"/>
  <c r="G21" i="2" s="1"/>
  <c r="F19" i="2"/>
  <c r="G19" i="2" s="1"/>
  <c r="F18" i="2"/>
  <c r="G18" i="2" s="1"/>
  <c r="F17" i="2"/>
  <c r="E17" i="2"/>
  <c r="L24" i="1"/>
  <c r="H24" i="1"/>
  <c r="L23" i="1"/>
  <c r="G23" i="1"/>
  <c r="H23" i="1" s="1"/>
  <c r="L22" i="1"/>
  <c r="H22" i="1"/>
  <c r="G22" i="1"/>
  <c r="L21" i="1"/>
  <c r="G21" i="1"/>
  <c r="H21" i="1" s="1"/>
  <c r="L20" i="1"/>
  <c r="J20" i="1"/>
  <c r="G20" i="1"/>
  <c r="H20" i="1" s="1"/>
  <c r="H19" i="1"/>
  <c r="H18" i="1"/>
  <c r="H17" i="1"/>
  <c r="H16" i="1"/>
  <c r="H15" i="1"/>
  <c r="H14" i="1"/>
  <c r="H13" i="1"/>
  <c r="H12" i="1"/>
  <c r="H11" i="1"/>
  <c r="H10" i="1"/>
  <c r="F19" i="4" l="1"/>
  <c r="E31" i="11"/>
  <c r="G31" i="11" s="1"/>
  <c r="J15" i="12"/>
  <c r="G17" i="2"/>
  <c r="G27" i="2"/>
  <c r="G26" i="2" s="1"/>
  <c r="K19" i="11"/>
  <c r="K22" i="11"/>
  <c r="I22" i="11"/>
  <c r="K18" i="11"/>
  <c r="I18" i="11"/>
  <c r="G20" i="11"/>
  <c r="I21" i="11"/>
  <c r="N25" i="1"/>
  <c r="L25" i="1"/>
  <c r="K21" i="11"/>
  <c r="G33" i="11"/>
  <c r="I33" i="11" s="1"/>
  <c r="H26" i="12"/>
  <c r="G23" i="2"/>
  <c r="G17" i="11"/>
  <c r="K17" i="11" s="1"/>
  <c r="K25" i="11"/>
  <c r="H24" i="12"/>
  <c r="H28" i="12" s="1"/>
  <c r="D31" i="5"/>
  <c r="D30" i="5" s="1"/>
  <c r="H30" i="5" s="1"/>
  <c r="H31" i="5" s="1"/>
  <c r="B9" i="7"/>
  <c r="D25" i="5"/>
  <c r="H25" i="1"/>
  <c r="G26" i="11"/>
  <c r="F26" i="11" s="1"/>
  <c r="I31" i="11"/>
  <c r="I24" i="11"/>
  <c r="G23" i="11"/>
  <c r="K24" i="11"/>
  <c r="K32" i="11"/>
  <c r="I32" i="11"/>
  <c r="G20" i="2"/>
  <c r="G16" i="2"/>
  <c r="K31" i="11"/>
  <c r="J28" i="12"/>
  <c r="E32" i="5"/>
  <c r="I19" i="11"/>
  <c r="L15" i="12"/>
  <c r="L28" i="12" s="1"/>
  <c r="H20" i="5"/>
  <c r="G38" i="2" l="1"/>
  <c r="K33" i="11"/>
  <c r="G16" i="11"/>
  <c r="K28" i="12"/>
  <c r="F34" i="12" s="1"/>
  <c r="I17" i="11"/>
  <c r="I35" i="11" s="1"/>
  <c r="I28" i="12"/>
  <c r="F33" i="12" s="1"/>
  <c r="G33" i="12"/>
  <c r="G34" i="12" s="1"/>
  <c r="G35" i="12" s="1"/>
  <c r="F35" i="12" s="1"/>
  <c r="K35" i="11"/>
  <c r="G35" i="11"/>
  <c r="J35" i="11" l="1"/>
  <c r="H35" i="11"/>
  <c r="F41" i="11"/>
  <c r="F44" i="11"/>
  <c r="E44" i="11" s="1"/>
  <c r="F43" i="11" l="1"/>
  <c r="E43" i="11" s="1"/>
  <c r="E41" i="11"/>
  <c r="J14" i="7" l="1"/>
  <c r="J18" i="7" s="1"/>
  <c r="C14" i="7"/>
  <c r="C20" i="7" s="1"/>
  <c r="L18" i="7"/>
  <c r="D14" i="7"/>
  <c r="D18" i="7" s="1"/>
  <c r="F14" i="7"/>
  <c r="F18" i="7" s="1"/>
  <c r="H14" i="7"/>
  <c r="H18" i="7" s="1"/>
  <c r="D19" i="7" l="1"/>
  <c r="F19" i="7" s="1"/>
  <c r="H19" i="7" s="1"/>
  <c r="J19" i="7" s="1"/>
  <c r="E18" i="7"/>
  <c r="E19" i="7" s="1"/>
  <c r="K18" i="7"/>
  <c r="G18" i="7"/>
  <c r="I18" i="7"/>
  <c r="G19" i="7" l="1"/>
  <c r="I19" i="7" s="1"/>
  <c r="K19" i="7" s="1"/>
</calcChain>
</file>

<file path=xl/sharedStrings.xml><?xml version="1.0" encoding="utf-8"?>
<sst xmlns="http://schemas.openxmlformats.org/spreadsheetml/2006/main" count="940" uniqueCount="296">
  <si>
    <t>Obra: Galeria de Àguas Pluviais</t>
  </si>
  <si>
    <t>Local: Rua: Justino de Andrade</t>
  </si>
  <si>
    <t>Cidade : Euclides da Cunha Paulista - São Paulo</t>
  </si>
  <si>
    <t>BDI Adotado: 30%</t>
  </si>
  <si>
    <t>Item</t>
  </si>
  <si>
    <t>código/órgão</t>
  </si>
  <si>
    <t>data base</t>
  </si>
  <si>
    <t>Descrição</t>
  </si>
  <si>
    <t>Quant.</t>
  </si>
  <si>
    <t>Unid</t>
  </si>
  <si>
    <t>Preço</t>
  </si>
  <si>
    <t>unitário</t>
  </si>
  <si>
    <t>Total</t>
  </si>
  <si>
    <t>PLACA DA OBRA</t>
  </si>
  <si>
    <t>1.1</t>
  </si>
  <si>
    <t>28.08.01.01 / DER</t>
  </si>
  <si>
    <t>Confecção,Montagem e Instalação de Placa Institucional</t>
  </si>
  <si>
    <t>m²</t>
  </si>
  <si>
    <t>INFRA ESTRUTURA</t>
  </si>
  <si>
    <t>2.1</t>
  </si>
  <si>
    <t>3062/sinapi</t>
  </si>
  <si>
    <t>ESCAVACAO MEC DE VALA NAO ESCORADA EM MATERIAL DE 1A CATEGORIA COM PROFUNDIDADE DE 1,5 ATE 3M COM RETROESCAVADEIRA 75HP</t>
  </si>
  <si>
    <t>m³</t>
  </si>
  <si>
    <t>2.2</t>
  </si>
  <si>
    <t>73964/005 -sinapi</t>
  </si>
  <si>
    <t>REATERRO DE VALA/CAVA SEM CONTROLE DE COMPACTAÇÃO , UTILIZANDO RETRO-ESCAVADEIRA E COMPACTACADOR VIBRATORIO COM MATERIAL REAPROVEITADO</t>
  </si>
  <si>
    <t>2.3</t>
  </si>
  <si>
    <t>74249/001-sinapi</t>
  </si>
  <si>
    <t>LASTRO DE BRITA 25MM, ESPESSURA 3CM, INCLUSO COMPACTACAO MANUAL</t>
  </si>
  <si>
    <t>TUBOS EM CONCRETO</t>
  </si>
  <si>
    <t>3.1</t>
  </si>
  <si>
    <t>24.16.01-DER</t>
  </si>
  <si>
    <t>Tubo de concreto d=0,40 m classe PA-1</t>
  </si>
  <si>
    <t>ml</t>
  </si>
  <si>
    <t>3.2</t>
  </si>
  <si>
    <t>24.16.11-DER</t>
  </si>
  <si>
    <t>Tubo de concreto d=0,80 m classe PA-1</t>
  </si>
  <si>
    <t>3.3</t>
  </si>
  <si>
    <t>24.16.15-DER</t>
  </si>
  <si>
    <t>Tubo de concreto d=1,00 m classe PA-1</t>
  </si>
  <si>
    <t>BOCAS DE LOBO, PV's, DISSIPADOR</t>
  </si>
  <si>
    <t>4.1</t>
  </si>
  <si>
    <t>73856/005 sinapi</t>
  </si>
  <si>
    <t>BOCA PARA BUEIRO SIMPLES TUBULAR, DIAMETRO =1,20M, EM CONCRETO CICLOPICO, INCLUINDO FORMAS, ESCAVACAO, REATERRO E MATERIAIS, EXCLUINDO MATERIAL REATERRO JAZIDA E TRANSPORTE.</t>
  </si>
  <si>
    <t>unid</t>
  </si>
  <si>
    <t>4.2</t>
  </si>
  <si>
    <t>73856/010 sinapi</t>
  </si>
  <si>
    <t>BOCA PARA BUEIRO DUPLOTUBULAR, DIAMETRO =1,20M, EM CONCRETO CICLOPICO, INCLUINDO FORMAS, ESCAVACAO, REATERRO E MATERIAIS, EXCLUINDO MATERIAL REATERRO JAZIDA E TRANSPORTE.</t>
  </si>
  <si>
    <t>4.3</t>
  </si>
  <si>
    <t>74124/008 sinapi</t>
  </si>
  <si>
    <t>POCO VISITA AG PLUV:CONC ARM 1,70X1,70X1,80M COLETOR D=1,20M PAREDE E=15CM BASE CONC FCK=10MPA REVEST C/ARG CIM/AREIA 1:4 DEGRAUS FF INCL FORN TODOS MATERIAIS, COM PROF. DE 2,0M.</t>
  </si>
  <si>
    <t>4.4</t>
  </si>
  <si>
    <t>74214/001 sinapi</t>
  </si>
  <si>
    <t>MÓDULO TÍPICO &gt; POÇO DE VISITA EM ALVENARIA PARA REDE DE AGUA PLUVIAL, DIAMETRO 1,20 M - PROFUNDIDADE ATE 4,00 METROS.</t>
  </si>
  <si>
    <t>4.5</t>
  </si>
  <si>
    <t>s/ código</t>
  </si>
  <si>
    <t>Dissipador</t>
  </si>
  <si>
    <t>Euclides da Cunha Paulista, 05 de Outubro de 2011</t>
  </si>
  <si>
    <t>Obra:  Execução de pavimentação asfaltica e Galeria de Àguas Pluviais</t>
  </si>
  <si>
    <t>2PARTE</t>
  </si>
  <si>
    <t>SINAPI/FEV 2012</t>
  </si>
  <si>
    <t>3062/</t>
  </si>
  <si>
    <t>ESCAVACAO MEC DE VALA NAO ESCORADA EM MATERIAL DE 1A CATEGORIA COM PROFUNDIDADE DE 1,5M COM RETROESCAVADEIRA 75HP</t>
  </si>
  <si>
    <t>1.2</t>
  </si>
  <si>
    <t>73964/005</t>
  </si>
  <si>
    <r>
      <rPr>
        <sz val="11"/>
        <color rgb="FF000000"/>
        <rFont val="Calibri"/>
        <family val="2"/>
        <charset val="1"/>
      </rPr>
      <t xml:space="preserve">REATERRO DE VALA/CAVA SEM CONTROLE DE COMPACTAÇÃO , UTILIZANDO RETRO-ESCAVADEIRA E </t>
    </r>
    <r>
      <rPr>
        <u/>
        <sz val="11"/>
        <color rgb="FF000000"/>
        <rFont val="Calibri"/>
        <family val="2"/>
        <charset val="1"/>
      </rPr>
      <t>COMPACTACADOR VIBRATORIO</t>
    </r>
    <r>
      <rPr>
        <sz val="11"/>
        <color rgb="FF000000"/>
        <rFont val="Calibri"/>
        <family val="2"/>
        <charset val="1"/>
      </rPr>
      <t xml:space="preserve"> COM MATERIAL REAPROVEITADO</t>
    </r>
  </si>
  <si>
    <t>1.3</t>
  </si>
  <si>
    <t>74249/001</t>
  </si>
  <si>
    <t>DER 12/2011</t>
  </si>
  <si>
    <t>24.16.01</t>
  </si>
  <si>
    <t>24.16.07</t>
  </si>
  <si>
    <t>TUBO DE CONCRETO D=0,60M CLASSE PA-1</t>
  </si>
  <si>
    <t>BOCAS DE LOBO, PV's</t>
  </si>
  <si>
    <t>73856/005</t>
  </si>
  <si>
    <t>74124/008</t>
  </si>
  <si>
    <t>PAVIMENTAÇÃO</t>
  </si>
  <si>
    <t>R$/m² 25,11</t>
  </si>
  <si>
    <t>74205/001</t>
  </si>
  <si>
    <t>ABERTURA E PREPARO DE CAIXA ATÉ 25CM COM REMOCAO DE MATERIAL 1A. CATEGORIA, EM CAMINHAO BASCULANTE, D.M.T.=6 KM (INCLUSIVE CARGA MECANICA E DESCARGA).</t>
  </si>
  <si>
    <t>74010/001</t>
  </si>
  <si>
    <r>
      <rPr>
        <sz val="10"/>
        <color rgb="FF000000"/>
        <rFont val="Arial"/>
        <family val="2"/>
        <charset val="1"/>
      </rPr>
      <t xml:space="preserve">CARGA E DESCARGA MECANICA DE SOLO UTILIZANDO CAMINHAO BASCULANTE 6,0M3 /11T E PA CARREGADEIRA SOBRE PNEUS * 105 HP * CAP. 1,72M3. </t>
    </r>
    <r>
      <rPr>
        <i/>
        <sz val="10"/>
        <color rgb="FF000000"/>
        <rFont val="Arial"/>
        <family val="2"/>
        <charset val="1"/>
      </rPr>
      <t>(Carga de material retirado da abertura de caixa a ser destinado ao bota fora)</t>
    </r>
  </si>
  <si>
    <t>72880</t>
  </si>
  <si>
    <r>
      <rPr>
        <sz val="10"/>
        <color rgb="FF000000"/>
        <rFont val="Arial"/>
        <family val="2"/>
        <charset val="1"/>
      </rPr>
      <t xml:space="preserve">TRANSPORTE LOCAL COM CAMINHAO BASCULANTE 6 M3, RODOVIA PAVIMENTADA, DM T 800 A 1.000 M </t>
    </r>
    <r>
      <rPr>
        <i/>
        <sz val="10"/>
        <color rgb="FF000000"/>
        <rFont val="Arial"/>
        <family val="2"/>
        <charset val="1"/>
      </rPr>
      <t>(Transporte de material ao bota fora)</t>
    </r>
  </si>
  <si>
    <t>74151/001</t>
  </si>
  <si>
    <r>
      <rPr>
        <sz val="10"/>
        <color rgb="FF000000"/>
        <rFont val="Arial"/>
        <family val="2"/>
        <charset val="1"/>
      </rPr>
      <t xml:space="preserve">ESCAVACAO E CARGA MATERIAL 1A CATEGORIA, UTILIZANDO TRATOR DE ESTEIRAS DE 110 A 160HP COM LAMINA, PESO OPERACIONAL * 13T E PA CARREGADEIRA COM 170 HP. </t>
    </r>
    <r>
      <rPr>
        <i/>
        <sz val="10"/>
        <color rgb="FF000000"/>
        <rFont val="Arial"/>
        <family val="2"/>
        <charset val="1"/>
      </rPr>
      <t>(Em jazida para construção da base de sub-leito)</t>
    </r>
  </si>
  <si>
    <r>
      <rPr>
        <sz val="10"/>
        <color rgb="FF000000"/>
        <rFont val="Arial"/>
        <family val="2"/>
        <charset val="1"/>
      </rPr>
      <t xml:space="preserve">TRANSPORTE LOCAL COM CAMINHAO BASCULANTE 6 M3, RODOVIA PAVIMENTADA, DM T 800 A 1.000 M </t>
    </r>
    <r>
      <rPr>
        <i/>
        <sz val="10"/>
        <color rgb="FF000000"/>
        <rFont val="Arial"/>
        <family val="2"/>
        <charset val="1"/>
      </rPr>
      <t>(Transporte de material da jazida ao local de aplicação do sub-leito)</t>
    </r>
  </si>
  <si>
    <t>4.6</t>
  </si>
  <si>
    <t>72961</t>
  </si>
  <si>
    <t xml:space="preserve">REGULARIZACAO E COMPACTACAO DE SUBLEITO ATE 20 CM DE ESPESSURA </t>
  </si>
  <si>
    <t>4.7</t>
  </si>
  <si>
    <t>72911</t>
  </si>
  <si>
    <t>BASE DE SOLO ARENOSO FINO, COMPACTACAO 100% PROCTOR MODIFICADO</t>
  </si>
  <si>
    <t>4.8</t>
  </si>
  <si>
    <t>72945</t>
  </si>
  <si>
    <t xml:space="preserve">IMPRIMACAO DE BASE DE PAVIMENTACAO COM EMULSAO CM-30 </t>
  </si>
  <si>
    <t>4.9</t>
  </si>
  <si>
    <t>72943</t>
  </si>
  <si>
    <t>PINTURA DE LIGACAO COM EMULSAO RR-2C</t>
  </si>
  <si>
    <t>4.10</t>
  </si>
  <si>
    <t>72960</t>
  </si>
  <si>
    <t>TRATAMENTO SUPERFICIAL TRIPULO - TST, COM EMULSAO RR-2C, INCLUSIVE CAPA SELANTE</t>
  </si>
  <si>
    <t>TOTAL COM BDI DE</t>
  </si>
  <si>
    <t>EUCLIDES DA CUNHA PTA, 29 DE MARÇO DE 2012.</t>
  </si>
  <si>
    <t>Eng.º Edson Luiz da Silva</t>
  </si>
  <si>
    <t>Ediberto Aparecido Zaupa</t>
  </si>
  <si>
    <t>Crea SP-5060740530/D</t>
  </si>
  <si>
    <t>Prefeito Municipal</t>
  </si>
  <si>
    <t>A.R.T. 9222122012035274</t>
  </si>
  <si>
    <t>PREFEITO MUNICIPAL</t>
  </si>
  <si>
    <t>BDI Adotado:</t>
  </si>
  <si>
    <t>CRONOGRAMA FÍSICO - DESEMBOLSO E APLICAÇÃO DOS RECURSOS</t>
  </si>
  <si>
    <t>SECRETARIA DE PLANEJAMENTO E DESENVOLVIMENTO REGIONAL UNIDADE DE ARTICULAÇÃO COM MUNICÍPIOS</t>
  </si>
  <si>
    <t>MUNICIPIO</t>
  </si>
  <si>
    <t>DATA BASE</t>
  </si>
  <si>
    <t>EUCLIDES DA CUNHA PAULISTA/SP</t>
  </si>
  <si>
    <r>
      <rPr>
        <b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>INFRAESTRUTURA URBANA-GALERIA DE ÁGUA PLUVIAL, BOCAS DE LOBO, PV´s E PAVIMENTAÇÃO ASFALTICA</t>
    </r>
  </si>
  <si>
    <t>PRAZO PROPOSTO</t>
  </si>
  <si>
    <t>INÍCIO: DATA DO CONVÊNIO</t>
  </si>
  <si>
    <t>FINAL: 360 DIAS A PARTIR DA DATA DA ASSINATURA DO CONVÊNIO</t>
  </si>
  <si>
    <t>ITEM</t>
  </si>
  <si>
    <t>SERVIÇOS</t>
  </si>
  <si>
    <t>UNIDADE</t>
  </si>
  <si>
    <t>1ª ETAPA</t>
  </si>
  <si>
    <t>TOTAL</t>
  </si>
  <si>
    <t>PERÍODO: 360 DIAS</t>
  </si>
  <si>
    <t>LIBERAÇÃO: EM ATÉ 30 DIAS APÓS A ASSINATURA DO CONVÊNIO</t>
  </si>
  <si>
    <t>PRAZO DE EXECUÇÃO: 330 DIAS</t>
  </si>
  <si>
    <t>1.0</t>
  </si>
  <si>
    <t>%</t>
  </si>
  <si>
    <t>R$</t>
  </si>
  <si>
    <t>2.0</t>
  </si>
  <si>
    <t>M</t>
  </si>
  <si>
    <t>3.0</t>
  </si>
  <si>
    <t>UND.</t>
  </si>
  <si>
    <t>4.0</t>
  </si>
  <si>
    <t>RECURSOS ESTADUAIS</t>
  </si>
  <si>
    <t>RECURSOS PRÓPRIOS</t>
  </si>
  <si>
    <t>ENG.º EDSON LUIZ DA SILVA</t>
  </si>
  <si>
    <t>EDIBERTO AP.º ZAUPA</t>
  </si>
  <si>
    <t>CREA SP 5060740530/D</t>
  </si>
  <si>
    <t>A.R.T. 92221220120317653</t>
  </si>
  <si>
    <t>CRONOGRAMA FÍSICO - FINANCEIRO</t>
  </si>
  <si>
    <t>PROPONENTE</t>
  </si>
  <si>
    <t>Município de Euclides da Cunha Paulista</t>
  </si>
  <si>
    <t>MUNICÍPIO:</t>
  </si>
  <si>
    <t>Euclides da Cunha Paulista/SP</t>
  </si>
  <si>
    <t>INTERVENÇÃO</t>
  </si>
  <si>
    <t>END. INTERVENÇÃO:</t>
  </si>
  <si>
    <t>N. CONTRATO</t>
  </si>
  <si>
    <t>VALOR</t>
  </si>
  <si>
    <t>ÍNDICE</t>
  </si>
  <si>
    <t>1º</t>
  </si>
  <si>
    <t>NO</t>
  </si>
  <si>
    <t>2º</t>
  </si>
  <si>
    <t>3º</t>
  </si>
  <si>
    <t>4º</t>
  </si>
  <si>
    <t>DO</t>
  </si>
  <si>
    <t>PERIODO</t>
  </si>
  <si>
    <t>SERVIÇO</t>
  </si>
  <si>
    <t>VALOR DA PARCELA C/ BASE NO VALOR TOTAL DA OBRA</t>
  </si>
  <si>
    <t>VALOR  ACUMULADO (R$)</t>
  </si>
  <si>
    <t>VALOR TOTAL DA OBRA (R$)</t>
  </si>
  <si>
    <t>Local: Rua: Justino de Andrade e Rua Albino Soares Linhares</t>
  </si>
  <si>
    <t>% ACUMULADO</t>
  </si>
  <si>
    <t>R$ ACUMULADO</t>
  </si>
  <si>
    <t>% PERIODO</t>
  </si>
  <si>
    <t>R$ PERIODO</t>
  </si>
  <si>
    <t>PMECP</t>
  </si>
  <si>
    <t>74205/002</t>
  </si>
  <si>
    <t>ABERTURA E PREPARO DE CAIXA ATÉ 40CM COM TRANSPORTE (95%)</t>
  </si>
  <si>
    <t>REGULARIZACAO E COMPACTACAO DE SUBLEITO ATE 20 CM DE ESPESSURA MÍNIMO DE (95% PN)</t>
  </si>
  <si>
    <t>72924</t>
  </si>
  <si>
    <t>BASE DE SOLO - BRITA (50/50), MISTURA EM USINA, COMPACTACAO 100% PROCTOR MODIFICADO, EXCLUSIVE ESCAVACAO, CARGA E TRANSPORTE, 20CM</t>
  </si>
  <si>
    <t>72958</t>
  </si>
  <si>
    <t>TRATAMENTO SUPERFICIAL DUPLO - TSD, COM EMULSAO RR-2C, 2,8cm</t>
  </si>
  <si>
    <t>RELATÓRIO DE MEDIÇÃO</t>
  </si>
  <si>
    <t>DATA</t>
  </si>
  <si>
    <t>TOTAL ACUMULADO</t>
  </si>
  <si>
    <t>A EXECUTAR</t>
  </si>
  <si>
    <r>
      <rPr>
        <sz val="11"/>
        <color rgb="FF000000"/>
        <rFont val="Calibri"/>
        <family val="2"/>
        <charset val="1"/>
      </rPr>
      <t>REATERRO DE VALA/CAVA SEM CONTROLE DE COMPACTAÇÃO , UTILIZANDO RETRO-ESCAVADEIRA E</t>
    </r>
    <r>
      <rPr>
        <u/>
        <sz val="11"/>
        <color rgb="FF00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COMPACTACADOR VIBRATORIO COM MATERIAL REAPROVEITADO</t>
    </r>
  </si>
  <si>
    <t>EUCLIDES DA CUNHA PTA,12 DE ABRIL DE 2012.</t>
  </si>
  <si>
    <t>BM1 - ESTA MEDIÇÃO</t>
  </si>
  <si>
    <t>OBJETO: INFRAESTRUTURA - GALERIA DE ÁGUAS PLUVIAIS, BOCAS DE LOBO E DISSIPADOR</t>
  </si>
  <si>
    <t>LOCAL: RUA JUSTINO DE ANDRADE</t>
  </si>
  <si>
    <t>MUNICÍPIO: EUCLIDES DA CUNHA PAULISTA</t>
  </si>
  <si>
    <t>BOLETIM DE MEDIÇÃO N.º 001</t>
  </si>
  <si>
    <t>FONTE</t>
  </si>
  <si>
    <t>CÓDIGO</t>
  </si>
  <si>
    <t>Ítem</t>
  </si>
  <si>
    <t>Descrição dos Serviços</t>
  </si>
  <si>
    <t>UNID.</t>
  </si>
  <si>
    <t>PREÇO UNITÁRIO</t>
  </si>
  <si>
    <t>Quantidade</t>
  </si>
  <si>
    <t>VALOR LICITADO</t>
  </si>
  <si>
    <t>INFRAESTRUTURA</t>
  </si>
  <si>
    <t>SINAPI AGO/2011</t>
  </si>
  <si>
    <t>SINAPI AGO/2012</t>
  </si>
  <si>
    <t>REATERRO DE VALA/CAVA SEM CONTROLE DE COMPACTAÇÃO , UTILIZANDO RETRO-ESCAVADEIRA E COMPACTADOR VIBRATORIO COM MATERIAL REAPROVEITADO</t>
  </si>
  <si>
    <t>SINAPI AGO/2013</t>
  </si>
  <si>
    <t>TUBOS DE CONCRETO</t>
  </si>
  <si>
    <t>DER</t>
  </si>
  <si>
    <t>Tubo de concreto d=0,40 m classe PA-1, incluso assentamento</t>
  </si>
  <si>
    <t xml:space="preserve">m </t>
  </si>
  <si>
    <t>24.16.11</t>
  </si>
  <si>
    <t>Tubo de concreto d=0,80 m classe PA-1  incluso assentamento</t>
  </si>
  <si>
    <t>24.16.15</t>
  </si>
  <si>
    <t>Tubo de concreto d=1,00 m classe PA-1  incluso assentamento</t>
  </si>
  <si>
    <t>BOCA DE LOBO</t>
  </si>
  <si>
    <t>73856/010</t>
  </si>
  <si>
    <t>POÇO DE VISITA</t>
  </si>
  <si>
    <t>EUCLIDES DA CUNHA PTA, 08 DE MARÇO DE 2012</t>
  </si>
  <si>
    <t>BOCAS DE LOBO, PV's,</t>
  </si>
  <si>
    <t>1.4</t>
  </si>
  <si>
    <t>sem BDI</t>
  </si>
  <si>
    <t>com BDI</t>
  </si>
  <si>
    <r>
      <t>m</t>
    </r>
    <r>
      <rPr>
        <sz val="13.5"/>
        <rFont val="Calibri"/>
        <family val="2"/>
      </rPr>
      <t>²</t>
    </r>
  </si>
  <si>
    <r>
      <t>m</t>
    </r>
    <r>
      <rPr>
        <sz val="13.5"/>
        <rFont val="Calibri"/>
        <family val="2"/>
      </rPr>
      <t>³</t>
    </r>
  </si>
  <si>
    <t>REPAROS</t>
  </si>
  <si>
    <t>16.40.140</t>
  </si>
  <si>
    <t>unid.</t>
  </si>
  <si>
    <t>Reparos em cobertura, verificação de infiltração de agua pluvial, incluso reparos em calhas e/ou rufos e subst. de telha</t>
  </si>
  <si>
    <t>CENTRO DE SAÚDE</t>
  </si>
  <si>
    <t>Local: Rua Helena Kuill Diniz, centro</t>
  </si>
  <si>
    <t>5.0</t>
  </si>
  <si>
    <t>6.0</t>
  </si>
  <si>
    <t>FONTE: 179 CPOS</t>
  </si>
  <si>
    <t>PLANILHA ORÇAMENTÁRIA</t>
  </si>
  <si>
    <t>33.10.041</t>
  </si>
  <si>
    <t>33.10.030</t>
  </si>
  <si>
    <t>Tinta acrílica antimofo em massa, inclusive preparo para laje</t>
  </si>
  <si>
    <t>1.1.1</t>
  </si>
  <si>
    <t>1.1.2</t>
  </si>
  <si>
    <t>1.1.3</t>
  </si>
  <si>
    <t>1.1.4</t>
  </si>
  <si>
    <t>41.31.040</t>
  </si>
  <si>
    <t>Luminária LED retangular de sobrepor com difusor translúcido, 4000 K, fluxo luminoso de 3350 3700 lm, potência de 31 a 37 W</t>
  </si>
  <si>
    <t>CORREDOR ESQUERDO, consultório a porta dos fundos</t>
  </si>
  <si>
    <t>03.10.140</t>
  </si>
  <si>
    <t>Remoção de pintura em massa com lixamento, 1/2 da area de pintura</t>
  </si>
  <si>
    <t>FARMACIA</t>
  </si>
  <si>
    <t>2.1.1</t>
  </si>
  <si>
    <t>2.1.2</t>
  </si>
  <si>
    <t>2.1.3</t>
  </si>
  <si>
    <t>2.1.5</t>
  </si>
  <si>
    <t>Esmalte à base de água em massa, inclusive preparo para parede h=2,00m</t>
  </si>
  <si>
    <t>Tinta acrílica antimofo em massa, inclusive preparo para parede h=1,00m</t>
  </si>
  <si>
    <t>SALA DE EMERGÊNCIA</t>
  </si>
  <si>
    <t>3.1.1</t>
  </si>
  <si>
    <t>3.1.2</t>
  </si>
  <si>
    <t>Demolição manual de revestimento cerâmico, incluindo a base</t>
  </si>
  <si>
    <t>03.04.020</t>
  </si>
  <si>
    <t>17.01.020</t>
  </si>
  <si>
    <t>Argamassa de regularização e/ou proteção</t>
  </si>
  <si>
    <t xml:space="preserve">Revestimento em placa cerâmica esmaltada de 20x20 cm, tipo monocolor, assentado e rejuntado com argamassa industrializada </t>
  </si>
  <si>
    <t xml:space="preserve">18.11.042 </t>
  </si>
  <si>
    <t>3.1.3</t>
  </si>
  <si>
    <t>3.1.4</t>
  </si>
  <si>
    <t>3.1.5</t>
  </si>
  <si>
    <t>3.1.6</t>
  </si>
  <si>
    <t>SALA DE CURATIVO</t>
  </si>
  <si>
    <t>4.1.1</t>
  </si>
  <si>
    <t>4.1.2</t>
  </si>
  <si>
    <t>4.1.3</t>
  </si>
  <si>
    <t>4.1.4</t>
  </si>
  <si>
    <t>4.1.5</t>
  </si>
  <si>
    <t>4.1.6</t>
  </si>
  <si>
    <t>SALA DE AUTOCLAVE/ESTERILIZAÇÃO</t>
  </si>
  <si>
    <t>5.1.1</t>
  </si>
  <si>
    <t>5.1.2</t>
  </si>
  <si>
    <t>5.1.3</t>
  </si>
  <si>
    <t>5.1.4</t>
  </si>
  <si>
    <t>5.1.5</t>
  </si>
  <si>
    <t>5.1.6</t>
  </si>
  <si>
    <t>CORREDOR EMERGÊNCIA</t>
  </si>
  <si>
    <t>7.0</t>
  </si>
  <si>
    <t>DEPOSITO DE EXPURGO</t>
  </si>
  <si>
    <t xml:space="preserve">15.01.010 </t>
  </si>
  <si>
    <t>55.01.130</t>
  </si>
  <si>
    <t>Limpeza e lavagem de superfície revestida com material cerâmico ou pastilhas por hidrojateamento com rejuntamento</t>
  </si>
  <si>
    <t>Esmalte à base de água em massa, inclusive preparo para parede h=3,00m</t>
  </si>
  <si>
    <t>Estrutura de madeira tesourada para telha de barro - vãos até 7,00 m, incluso cobertura</t>
  </si>
  <si>
    <t>Euclides da Cunha Pta,</t>
  </si>
  <si>
    <t>7.1.1</t>
  </si>
  <si>
    <t>7.1.2</t>
  </si>
  <si>
    <t>7.1.3</t>
  </si>
  <si>
    <t>7.1.4</t>
  </si>
  <si>
    <t>7.1.5</t>
  </si>
  <si>
    <t>1.1.5</t>
  </si>
  <si>
    <t>6.1.1</t>
  </si>
  <si>
    <t>6.1.2</t>
  </si>
  <si>
    <t>6.1.3</t>
  </si>
  <si>
    <t>6.1.4</t>
  </si>
  <si>
    <t>6.1.5</t>
  </si>
  <si>
    <t>EUCLIDES DA CUNHA PTA, 19 DE OUTUBRO DE 2020.</t>
  </si>
  <si>
    <t>REPAROS NO CENTRO DE SAUDE/OUT 2020</t>
  </si>
  <si>
    <t>RUA HELENA KUILL DINIZ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</si>
</sst>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_-* #,##0.00_-;\-* #,##0.00_-;_-* \-??_-;_-@_-"/>
    <numFmt numFmtId="165" formatCode="_-&quot;R$ &quot;* #,##0.00_-;&quot;-R$ &quot;* #,##0.00_-;_-&quot;R$ &quot;* \-??_-;_-@_-"/>
    <numFmt numFmtId="166" formatCode="&quot;R$ &quot;#,##0.00;[Red]&quot;-R$ &quot;#,##0.00"/>
    <numFmt numFmtId="167" formatCode="mmm\-yy;@"/>
    <numFmt numFmtId="168" formatCode="_(&quot;R$ &quot;* #,##0.00_);_(&quot;R$ &quot;* \(#,##0.00\);_(&quot;R$ &quot;* \-??_);_(@_)"/>
    <numFmt numFmtId="169" formatCode="d/mmm/yy"/>
    <numFmt numFmtId="170" formatCode="#,##0.00_);\(#,##0.00\)"/>
    <numFmt numFmtId="171" formatCode="#,##0.00_);[Red]\-#,##0.00"/>
    <numFmt numFmtId="172" formatCode="d/m/yyyy"/>
    <numFmt numFmtId="173" formatCode="_(&quot;R$&quot;* #,##0.00_);_(&quot;R$&quot;* \(#,##0.00\);_(&quot;R$&quot;* \-??_);_(@_)"/>
    <numFmt numFmtId="174" formatCode="&quot;R$ &quot;#,##0.00"/>
  </numFmts>
  <fonts count="58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sz val="8"/>
      <color rgb="FF000000"/>
      <name val="Verdana"/>
      <family val="2"/>
      <charset val="1"/>
    </font>
    <font>
      <sz val="10"/>
      <color rgb="FF000000"/>
      <name val="Arial"/>
      <family val="2"/>
      <charset val="1"/>
    </font>
    <font>
      <sz val="8"/>
      <name val="Arial"/>
      <family val="2"/>
      <charset val="1"/>
    </font>
    <font>
      <sz val="12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1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2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name val="Arial"/>
      <family val="2"/>
      <charset val="1"/>
    </font>
    <font>
      <b/>
      <sz val="9"/>
      <name val="Arial"/>
      <family val="2"/>
      <charset val="1"/>
    </font>
    <font>
      <b/>
      <sz val="10"/>
      <name val="Arial"/>
      <family val="2"/>
      <charset val="1"/>
    </font>
    <font>
      <b/>
      <i/>
      <sz val="11"/>
      <name val="Arial"/>
      <family val="2"/>
      <charset val="1"/>
    </font>
    <font>
      <i/>
      <sz val="11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4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indexed="8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13.5"/>
      <name val="MS Sans Serif"/>
      <family val="2"/>
    </font>
    <font>
      <sz val="13.5"/>
      <name val="Calibri"/>
      <family val="2"/>
    </font>
    <font>
      <sz val="12"/>
      <name val="MS Sans Serif"/>
      <family val="2"/>
    </font>
    <font>
      <b/>
      <sz val="12"/>
      <name val="MS Sans Serif"/>
      <family val="2"/>
    </font>
    <font>
      <b/>
      <sz val="11"/>
      <color rgb="FF000000"/>
      <name val="Calibri"/>
      <family val="2"/>
    </font>
    <font>
      <sz val="10"/>
      <name val="Calibri Light"/>
      <family val="2"/>
    </font>
    <font>
      <sz val="12"/>
      <name val="Calibri Light"/>
      <family val="2"/>
    </font>
    <font>
      <sz val="13.5"/>
      <name val="Calibri Light"/>
      <family val="2"/>
    </font>
    <font>
      <sz val="11"/>
      <color rgb="FF000000"/>
      <name val="Calibri Light"/>
      <family val="2"/>
    </font>
    <font>
      <b/>
      <sz val="10"/>
      <name val="Calibri Light"/>
      <family val="2"/>
    </font>
    <font>
      <b/>
      <sz val="12"/>
      <name val="Calibri Light"/>
      <family val="2"/>
    </font>
    <font>
      <sz val="10"/>
      <color rgb="FFFF0000"/>
      <name val="Calibri Light"/>
      <family val="2"/>
    </font>
    <font>
      <sz val="12"/>
      <color rgb="FFFF0000"/>
      <name val="Calibri Light"/>
      <family val="2"/>
    </font>
    <font>
      <sz val="13.5"/>
      <color rgb="FFFF0000"/>
      <name val="Calibri Light"/>
      <family val="2"/>
    </font>
    <font>
      <sz val="11"/>
      <color rgb="FFFF0000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1"/>
      <color rgb="FF000000"/>
      <name val="Calibri Light"/>
      <family val="2"/>
    </font>
    <font>
      <b/>
      <sz val="12"/>
      <name val="MS Sans Serif"/>
    </font>
  </fonts>
  <fills count="10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FFFF99"/>
        <bgColor rgb="FFFFFFCC"/>
      </patternFill>
    </fill>
    <fill>
      <patternFill patternType="solid">
        <fgColor rgb="FFBFBFBF"/>
        <bgColor rgb="FFD9D9D9"/>
      </patternFill>
    </fill>
  </fills>
  <borders count="7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ouble">
        <color auto="1"/>
      </top>
      <bottom style="dashed">
        <color auto="1"/>
      </bottom>
      <diagonal/>
    </border>
    <border>
      <left/>
      <right/>
      <top style="double">
        <color auto="1"/>
      </top>
      <bottom style="dashed">
        <color auto="1"/>
      </bottom>
      <diagonal/>
    </border>
    <border>
      <left/>
      <right style="double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/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/>
      <top style="dashed">
        <color auto="1"/>
      </top>
      <bottom style="double">
        <color auto="1"/>
      </bottom>
      <diagonal/>
    </border>
    <border>
      <left/>
      <right style="double">
        <color auto="1"/>
      </right>
      <top style="dashed">
        <color auto="1"/>
      </top>
      <bottom style="double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33" fillId="0" borderId="0" applyBorder="0" applyProtection="0"/>
    <xf numFmtId="165" fontId="33" fillId="0" borderId="0" applyBorder="0" applyProtection="0"/>
    <xf numFmtId="9" fontId="33" fillId="0" borderId="0" applyBorder="0" applyProtection="0"/>
    <xf numFmtId="0" fontId="3" fillId="2" borderId="0" applyBorder="0" applyProtection="0"/>
    <xf numFmtId="0" fontId="34" fillId="0" borderId="0"/>
    <xf numFmtId="43" fontId="1" fillId="0" borderId="0" applyFont="0" applyFill="0" applyBorder="0" applyAlignment="0" applyProtection="0"/>
  </cellStyleXfs>
  <cellXfs count="380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164" fontId="0" fillId="0" borderId="1" xfId="1" applyFont="1" applyBorder="1" applyAlignment="1" applyProtection="1"/>
    <xf numFmtId="165" fontId="0" fillId="0" borderId="1" xfId="2" applyFont="1" applyBorder="1" applyAlignment="1" applyProtection="1"/>
    <xf numFmtId="0" fontId="0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165" fontId="0" fillId="0" borderId="1" xfId="2" applyFont="1" applyBorder="1" applyAlignment="1" applyProtection="1">
      <alignment horizontal="center" vertical="center"/>
    </xf>
    <xf numFmtId="165" fontId="0" fillId="0" borderId="0" xfId="0" applyNumberFormat="1"/>
    <xf numFmtId="0" fontId="6" fillId="0" borderId="0" xfId="0" applyFont="1"/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wrapText="1"/>
    </xf>
    <xf numFmtId="0" fontId="8" fillId="4" borderId="3" xfId="0" applyFont="1" applyFill="1" applyBorder="1"/>
    <xf numFmtId="0" fontId="2" fillId="4" borderId="3" xfId="0" applyFont="1" applyFill="1" applyBorder="1"/>
    <xf numFmtId="164" fontId="2" fillId="4" borderId="3" xfId="1" applyFont="1" applyFill="1" applyBorder="1" applyAlignment="1" applyProtection="1"/>
    <xf numFmtId="165" fontId="2" fillId="4" borderId="3" xfId="2" applyFont="1" applyFill="1" applyBorder="1" applyAlignment="1" applyProtection="1"/>
    <xf numFmtId="165" fontId="8" fillId="4" borderId="3" xfId="2" applyFont="1" applyFill="1" applyBorder="1" applyAlignment="1" applyProtection="1"/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164" fontId="0" fillId="0" borderId="3" xfId="1" applyFont="1" applyBorder="1" applyAlignment="1" applyProtection="1">
      <alignment vertical="center"/>
    </xf>
    <xf numFmtId="165" fontId="0" fillId="0" borderId="3" xfId="2" applyFont="1" applyBorder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/>
    </xf>
    <xf numFmtId="164" fontId="2" fillId="4" borderId="3" xfId="1" applyFont="1" applyFill="1" applyBorder="1" applyAlignment="1" applyProtection="1">
      <alignment vertical="center"/>
    </xf>
    <xf numFmtId="165" fontId="2" fillId="4" borderId="3" xfId="2" applyFont="1" applyFill="1" applyBorder="1" applyAlignment="1" applyProtection="1">
      <alignment horizontal="center" vertical="center"/>
    </xf>
    <xf numFmtId="165" fontId="8" fillId="4" borderId="3" xfId="2" applyFont="1" applyFill="1" applyBorder="1" applyAlignment="1" applyProtection="1">
      <alignment horizontal="center" vertical="center"/>
    </xf>
    <xf numFmtId="0" fontId="2" fillId="0" borderId="0" xfId="0" applyFont="1"/>
    <xf numFmtId="0" fontId="0" fillId="0" borderId="3" xfId="0" applyFont="1" applyBorder="1"/>
    <xf numFmtId="0" fontId="10" fillId="0" borderId="3" xfId="0" applyFont="1" applyBorder="1"/>
    <xf numFmtId="0" fontId="8" fillId="4" borderId="2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/>
    </xf>
    <xf numFmtId="164" fontId="4" fillId="4" borderId="3" xfId="1" applyFont="1" applyFill="1" applyBorder="1" applyAlignment="1" applyProtection="1">
      <alignment vertical="center"/>
    </xf>
    <xf numFmtId="166" fontId="8" fillId="4" borderId="3" xfId="2" applyNumberFormat="1" applyFont="1" applyFill="1" applyBorder="1" applyAlignment="1" applyProtection="1">
      <alignment horizontal="center" vertical="center"/>
    </xf>
    <xf numFmtId="0" fontId="0" fillId="0" borderId="2" xfId="0" applyFont="1" applyBorder="1" applyAlignment="1">
      <alignment horizontal="center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0" fontId="0" fillId="0" borderId="3" xfId="2" applyNumberFormat="1" applyFont="1" applyBorder="1" applyAlignment="1" applyProtection="1">
      <alignment vertical="center"/>
    </xf>
    <xf numFmtId="49" fontId="11" fillId="0" borderId="4" xfId="0" applyNumberFormat="1" applyFont="1" applyBorder="1" applyAlignment="1" applyProtection="1">
      <alignment horizontal="justify" vertical="center" wrapText="1"/>
      <protection locked="0"/>
    </xf>
    <xf numFmtId="49" fontId="11" fillId="0" borderId="4" xfId="0" applyNumberFormat="1" applyFont="1" applyBorder="1" applyAlignment="1" applyProtection="1">
      <alignment horizontal="justify" vertical="center"/>
      <protection locked="0"/>
    </xf>
    <xf numFmtId="49" fontId="11" fillId="0" borderId="3" xfId="0" applyNumberFormat="1" applyFont="1" applyBorder="1" applyAlignment="1" applyProtection="1">
      <alignment horizontal="center" vertical="center"/>
      <protection locked="0"/>
    </xf>
    <xf numFmtId="49" fontId="11" fillId="0" borderId="3" xfId="0" applyNumberFormat="1" applyFont="1" applyBorder="1" applyAlignment="1" applyProtection="1">
      <alignment horizontal="justify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0" fontId="2" fillId="5" borderId="2" xfId="0" applyFont="1" applyFill="1" applyBorder="1"/>
    <xf numFmtId="0" fontId="2" fillId="5" borderId="3" xfId="0" applyFont="1" applyFill="1" applyBorder="1"/>
    <xf numFmtId="0" fontId="15" fillId="5" borderId="3" xfId="0" applyFont="1" applyFill="1" applyBorder="1" applyAlignment="1">
      <alignment horizontal="right" vertical="center" wrapText="1"/>
    </xf>
    <xf numFmtId="9" fontId="8" fillId="5" borderId="3" xfId="3" applyFont="1" applyFill="1" applyBorder="1" applyAlignment="1" applyProtection="1">
      <alignment horizontal="left"/>
    </xf>
    <xf numFmtId="0" fontId="8" fillId="5" borderId="3" xfId="0" applyFont="1" applyFill="1" applyBorder="1"/>
    <xf numFmtId="165" fontId="8" fillId="5" borderId="5" xfId="0" applyNumberFormat="1" applyFont="1" applyFill="1" applyBorder="1"/>
    <xf numFmtId="0" fontId="16" fillId="0" borderId="6" xfId="0" applyFont="1" applyBorder="1" applyAlignment="1">
      <alignment horizontal="center" vertical="center"/>
    </xf>
    <xf numFmtId="0" fontId="0" fillId="0" borderId="0" xfId="0" applyFont="1"/>
    <xf numFmtId="0" fontId="11" fillId="0" borderId="0" xfId="0" applyFont="1" applyBorder="1" applyAlignment="1" applyProtection="1">
      <protection locked="0"/>
    </xf>
    <xf numFmtId="0" fontId="4" fillId="0" borderId="0" xfId="0" applyFont="1"/>
    <xf numFmtId="0" fontId="0" fillId="0" borderId="7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/>
    </xf>
    <xf numFmtId="0" fontId="8" fillId="0" borderId="3" xfId="0" applyFont="1" applyBorder="1"/>
    <xf numFmtId="0" fontId="18" fillId="0" borderId="0" xfId="0" applyFont="1"/>
    <xf numFmtId="0" fontId="8" fillId="3" borderId="5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165" fontId="18" fillId="0" borderId="5" xfId="0" applyNumberFormat="1" applyFont="1" applyBorder="1"/>
    <xf numFmtId="0" fontId="19" fillId="0" borderId="0" xfId="0" applyFont="1" applyBorder="1" applyAlignment="1" applyProtection="1">
      <protection locked="0"/>
    </xf>
    <xf numFmtId="0" fontId="4" fillId="7" borderId="1" xfId="0" applyFont="1" applyFill="1" applyBorder="1"/>
    <xf numFmtId="167" fontId="0" fillId="0" borderId="1" xfId="0" applyNumberFormat="1" applyFont="1" applyBorder="1" applyAlignment="1">
      <alignment horizontal="center"/>
    </xf>
    <xf numFmtId="0" fontId="4" fillId="0" borderId="12" xfId="0" applyFont="1" applyBorder="1" applyAlignment="1">
      <alignment vertical="top"/>
    </xf>
    <xf numFmtId="0" fontId="4" fillId="7" borderId="10" xfId="0" applyFont="1" applyFill="1" applyBorder="1" applyAlignment="1">
      <alignment horizontal="center"/>
    </xf>
    <xf numFmtId="0" fontId="18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horizontal="center"/>
    </xf>
    <xf numFmtId="0" fontId="0" fillId="0" borderId="10" xfId="0" applyBorder="1"/>
    <xf numFmtId="0" fontId="18" fillId="0" borderId="13" xfId="0" applyFont="1" applyBorder="1" applyAlignment="1">
      <alignment vertical="center"/>
    </xf>
    <xf numFmtId="0" fontId="4" fillId="0" borderId="7" xfId="0" applyFont="1" applyBorder="1"/>
    <xf numFmtId="0" fontId="4" fillId="0" borderId="8" xfId="0" applyFont="1" applyBorder="1"/>
    <xf numFmtId="0" fontId="18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1" xfId="0" applyFont="1" applyBorder="1"/>
    <xf numFmtId="0" fontId="18" fillId="0" borderId="16" xfId="0" applyFont="1" applyBorder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8" fillId="0" borderId="15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17" xfId="0" applyBorder="1"/>
    <xf numFmtId="0" fontId="0" fillId="0" borderId="0" xfId="0" applyBorder="1" applyAlignment="1">
      <alignment horizontal="left"/>
    </xf>
    <xf numFmtId="168" fontId="23" fillId="0" borderId="0" xfId="2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/>
    <xf numFmtId="0" fontId="21" fillId="6" borderId="19" xfId="0" applyFont="1" applyFill="1" applyBorder="1" applyAlignment="1">
      <alignment vertical="center"/>
    </xf>
    <xf numFmtId="0" fontId="24" fillId="7" borderId="20" xfId="0" applyFont="1" applyFill="1" applyBorder="1" applyAlignment="1">
      <alignment horizontal="justify" vertical="center"/>
    </xf>
    <xf numFmtId="0" fontId="11" fillId="6" borderId="21" xfId="0" applyFont="1" applyFill="1" applyBorder="1" applyAlignment="1" applyProtection="1">
      <alignment vertical="center"/>
      <protection locked="0"/>
    </xf>
    <xf numFmtId="0" fontId="11" fillId="6" borderId="22" xfId="0" applyFont="1" applyFill="1" applyBorder="1" applyAlignment="1" applyProtection="1">
      <alignment vertical="center"/>
      <protection locked="0"/>
    </xf>
    <xf numFmtId="0" fontId="24" fillId="0" borderId="22" xfId="0" applyFont="1" applyBorder="1" applyAlignment="1">
      <alignment vertical="center"/>
    </xf>
    <xf numFmtId="0" fontId="24" fillId="0" borderId="23" xfId="0" applyFont="1" applyBorder="1" applyAlignment="1">
      <alignment vertical="center"/>
    </xf>
    <xf numFmtId="0" fontId="24" fillId="7" borderId="25" xfId="0" applyFont="1" applyFill="1" applyBorder="1" applyAlignment="1">
      <alignment horizontal="justify" vertical="center"/>
    </xf>
    <xf numFmtId="0" fontId="25" fillId="6" borderId="5" xfId="0" applyFont="1" applyFill="1" applyBorder="1" applyAlignment="1" applyProtection="1">
      <alignment vertical="center"/>
      <protection locked="0"/>
    </xf>
    <xf numFmtId="0" fontId="11" fillId="6" borderId="9" xfId="0" applyFont="1" applyFill="1" applyBorder="1" applyAlignment="1" applyProtection="1">
      <alignment vertical="center"/>
      <protection locked="0"/>
    </xf>
    <xf numFmtId="0" fontId="24" fillId="0" borderId="9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0" fontId="24" fillId="7" borderId="28" xfId="0" applyFont="1" applyFill="1" applyBorder="1" applyAlignment="1">
      <alignment horizontal="justify" vertical="center"/>
    </xf>
    <xf numFmtId="0" fontId="12" fillId="6" borderId="32" xfId="0" applyFont="1" applyFill="1" applyBorder="1" applyAlignment="1">
      <alignment horizontal="center" vertical="top"/>
    </xf>
    <xf numFmtId="0" fontId="26" fillId="6" borderId="12" xfId="0" applyFont="1" applyFill="1" applyBorder="1" applyAlignment="1">
      <alignment horizontal="justify" wrapText="1"/>
    </xf>
    <xf numFmtId="10" fontId="26" fillId="6" borderId="12" xfId="0" applyNumberFormat="1" applyFont="1" applyFill="1" applyBorder="1" applyAlignment="1">
      <alignment horizontal="right"/>
    </xf>
    <xf numFmtId="1" fontId="26" fillId="7" borderId="33" xfId="0" applyNumberFormat="1" applyFont="1" applyFill="1" applyBorder="1" applyAlignment="1" applyProtection="1">
      <alignment horizontal="center"/>
      <protection locked="0"/>
    </xf>
    <xf numFmtId="1" fontId="26" fillId="6" borderId="12" xfId="0" applyNumberFormat="1" applyFont="1" applyFill="1" applyBorder="1" applyAlignment="1">
      <alignment horizontal="center"/>
    </xf>
    <xf numFmtId="10" fontId="26" fillId="6" borderId="34" xfId="0" applyNumberFormat="1" applyFont="1" applyFill="1" applyBorder="1" applyAlignment="1" applyProtection="1">
      <alignment horizontal="center"/>
      <protection locked="0"/>
    </xf>
    <xf numFmtId="169" fontId="26" fillId="6" borderId="35" xfId="0" applyNumberFormat="1" applyFont="1" applyFill="1" applyBorder="1" applyAlignment="1">
      <alignment horizontal="center" vertical="center"/>
    </xf>
    <xf numFmtId="169" fontId="26" fillId="6" borderId="12" xfId="0" applyNumberFormat="1" applyFont="1" applyFill="1" applyBorder="1" applyAlignment="1">
      <alignment horizontal="center" vertical="center"/>
    </xf>
    <xf numFmtId="169" fontId="26" fillId="6" borderId="34" xfId="0" applyNumberFormat="1" applyFont="1" applyFill="1" applyBorder="1" applyAlignment="1">
      <alignment horizontal="center" vertical="center"/>
    </xf>
    <xf numFmtId="169" fontId="26" fillId="6" borderId="36" xfId="0" applyNumberFormat="1" applyFont="1" applyFill="1" applyBorder="1" applyAlignment="1">
      <alignment horizontal="center" vertical="center"/>
    </xf>
    <xf numFmtId="169" fontId="26" fillId="6" borderId="33" xfId="0" applyNumberFormat="1" applyFont="1" applyFill="1" applyBorder="1" applyAlignment="1">
      <alignment horizontal="center" vertical="center"/>
    </xf>
    <xf numFmtId="169" fontId="26" fillId="6" borderId="37" xfId="0" applyNumberFormat="1" applyFont="1" applyFill="1" applyBorder="1" applyAlignment="1">
      <alignment horizontal="center" vertical="center"/>
    </xf>
    <xf numFmtId="0" fontId="5" fillId="6" borderId="38" xfId="0" applyFont="1" applyFill="1" applyBorder="1" applyAlignment="1" applyProtection="1">
      <alignment horizontal="center" vertical="top"/>
      <protection locked="0"/>
    </xf>
    <xf numFmtId="170" fontId="5" fillId="7" borderId="11" xfId="0" applyNumberFormat="1" applyFont="1" applyFill="1" applyBorder="1" applyAlignment="1" applyProtection="1">
      <alignment horizontal="justify" wrapText="1"/>
      <protection locked="0"/>
    </xf>
    <xf numFmtId="10" fontId="12" fillId="6" borderId="11" xfId="3" applyNumberFormat="1" applyFont="1" applyFill="1" applyBorder="1" applyAlignment="1" applyProtection="1">
      <alignment horizontal="center"/>
    </xf>
    <xf numFmtId="171" fontId="12" fillId="6" borderId="11" xfId="0" applyNumberFormat="1" applyFont="1" applyFill="1" applyBorder="1" applyAlignment="1">
      <alignment horizontal="center"/>
    </xf>
    <xf numFmtId="10" fontId="12" fillId="7" borderId="11" xfId="0" applyNumberFormat="1" applyFont="1" applyFill="1" applyBorder="1" applyAlignment="1" applyProtection="1">
      <alignment horizontal="center"/>
      <protection locked="0"/>
    </xf>
    <xf numFmtId="171" fontId="27" fillId="6" borderId="39" xfId="0" applyNumberFormat="1" applyFont="1" applyFill="1" applyBorder="1" applyAlignment="1" applyProtection="1">
      <alignment horizontal="right"/>
    </xf>
    <xf numFmtId="0" fontId="5" fillId="6" borderId="40" xfId="0" applyFont="1" applyFill="1" applyBorder="1" applyAlignment="1" applyProtection="1">
      <alignment horizontal="center" vertical="top"/>
      <protection locked="0"/>
    </xf>
    <xf numFmtId="170" fontId="5" fillId="7" borderId="1" xfId="0" applyNumberFormat="1" applyFont="1" applyFill="1" applyBorder="1" applyAlignment="1" applyProtection="1">
      <alignment horizontal="justify" wrapText="1"/>
      <protection locked="0"/>
    </xf>
    <xf numFmtId="10" fontId="12" fillId="7" borderId="1" xfId="0" applyNumberFormat="1" applyFont="1" applyFill="1" applyBorder="1" applyAlignment="1" applyProtection="1">
      <alignment horizontal="center"/>
      <protection locked="0"/>
    </xf>
    <xf numFmtId="0" fontId="12" fillId="6" borderId="41" xfId="0" applyFont="1" applyFill="1" applyBorder="1" applyAlignment="1" applyProtection="1">
      <alignment horizontal="center" vertical="top"/>
      <protection locked="0"/>
    </xf>
    <xf numFmtId="170" fontId="12" fillId="7" borderId="1" xfId="0" applyNumberFormat="1" applyFont="1" applyFill="1" applyBorder="1" applyAlignment="1" applyProtection="1">
      <alignment horizontal="justify" wrapText="1"/>
      <protection locked="0"/>
    </xf>
    <xf numFmtId="49" fontId="12" fillId="6" borderId="40" xfId="0" applyNumberFormat="1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/>
    </xf>
    <xf numFmtId="10" fontId="12" fillId="6" borderId="1" xfId="0" applyNumberFormat="1" applyFont="1" applyFill="1" applyBorder="1" applyAlignment="1">
      <alignment horizontal="center"/>
    </xf>
    <xf numFmtId="171" fontId="12" fillId="6" borderId="1" xfId="0" applyNumberFormat="1" applyFont="1" applyFill="1" applyBorder="1" applyAlignment="1">
      <alignment horizontal="center"/>
    </xf>
    <xf numFmtId="49" fontId="26" fillId="6" borderId="40" xfId="0" applyNumberFormat="1" applyFont="1" applyFill="1" applyBorder="1" applyAlignment="1">
      <alignment horizontal="left" vertical="top"/>
    </xf>
    <xf numFmtId="10" fontId="27" fillId="6" borderId="1" xfId="0" applyNumberFormat="1" applyFont="1" applyFill="1" applyBorder="1" applyAlignment="1">
      <alignment horizontal="center"/>
    </xf>
    <xf numFmtId="171" fontId="27" fillId="0" borderId="1" xfId="0" applyNumberFormat="1" applyFont="1" applyBorder="1" applyAlignment="1">
      <alignment horizontal="center"/>
    </xf>
    <xf numFmtId="171" fontId="27" fillId="6" borderId="1" xfId="0" applyNumberFormat="1" applyFont="1" applyFill="1" applyBorder="1" applyAlignment="1">
      <alignment horizontal="center"/>
    </xf>
    <xf numFmtId="171" fontId="12" fillId="6" borderId="42" xfId="0" applyNumberFormat="1" applyFont="1" applyFill="1" applyBorder="1" applyAlignment="1">
      <alignment horizontal="center"/>
    </xf>
    <xf numFmtId="49" fontId="26" fillId="6" borderId="43" xfId="0" applyNumberFormat="1" applyFont="1" applyFill="1" applyBorder="1" applyAlignment="1">
      <alignment horizontal="left" vertical="top"/>
    </xf>
    <xf numFmtId="0" fontId="12" fillId="6" borderId="44" xfId="0" applyFont="1" applyFill="1" applyBorder="1" applyAlignment="1">
      <alignment horizontal="center" vertical="center"/>
    </xf>
    <xf numFmtId="10" fontId="27" fillId="6" borderId="44" xfId="0" applyNumberFormat="1" applyFont="1" applyFill="1" applyBorder="1" applyAlignment="1">
      <alignment horizontal="center"/>
    </xf>
    <xf numFmtId="171" fontId="27" fillId="6" borderId="44" xfId="0" applyNumberFormat="1" applyFont="1" applyFill="1" applyBorder="1" applyAlignment="1">
      <alignment horizontal="center"/>
    </xf>
    <xf numFmtId="10" fontId="27" fillId="6" borderId="45" xfId="0" applyNumberFormat="1" applyFont="1" applyFill="1" applyBorder="1" applyAlignment="1">
      <alignment horizontal="center"/>
    </xf>
    <xf numFmtId="171" fontId="12" fillId="6" borderId="46" xfId="0" applyNumberFormat="1" applyFont="1" applyFill="1" applyBorder="1" applyAlignment="1">
      <alignment horizontal="center"/>
    </xf>
    <xf numFmtId="0" fontId="24" fillId="0" borderId="0" xfId="0" applyFont="1" applyBorder="1" applyAlignment="1" applyProtection="1">
      <protection locked="0"/>
    </xf>
    <xf numFmtId="0" fontId="28" fillId="3" borderId="8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8" fillId="3" borderId="38" xfId="0" applyFont="1" applyFill="1" applyBorder="1" applyAlignment="1">
      <alignment horizontal="center" vertical="center" wrapText="1"/>
    </xf>
    <xf numFmtId="0" fontId="28" fillId="3" borderId="47" xfId="0" applyFont="1" applyFill="1" applyBorder="1" applyAlignment="1">
      <alignment horizontal="center" vertical="center" wrapText="1"/>
    </xf>
    <xf numFmtId="166" fontId="22" fillId="4" borderId="3" xfId="2" applyNumberFormat="1" applyFont="1" applyFill="1" applyBorder="1" applyAlignment="1" applyProtection="1">
      <alignment horizontal="center" vertical="center"/>
    </xf>
    <xf numFmtId="0" fontId="0" fillId="0" borderId="3" xfId="0" applyBorder="1"/>
    <xf numFmtId="0" fontId="0" fillId="0" borderId="5" xfId="0" applyBorder="1"/>
    <xf numFmtId="164" fontId="0" fillId="0" borderId="3" xfId="2" applyNumberFormat="1" applyFont="1" applyBorder="1" applyAlignment="1" applyProtection="1">
      <alignment vertical="center"/>
    </xf>
    <xf numFmtId="10" fontId="5" fillId="0" borderId="9" xfId="2" applyNumberFormat="1" applyFont="1" applyBorder="1" applyAlignment="1" applyProtection="1"/>
    <xf numFmtId="165" fontId="5" fillId="0" borderId="5" xfId="2" applyFont="1" applyBorder="1" applyAlignment="1" applyProtection="1"/>
    <xf numFmtId="165" fontId="15" fillId="0" borderId="49" xfId="2" applyFont="1" applyBorder="1" applyAlignment="1" applyProtection="1"/>
    <xf numFmtId="0" fontId="17" fillId="0" borderId="3" xfId="0" applyFont="1" applyBorder="1" applyAlignment="1">
      <alignment horizontal="center" vertical="center"/>
    </xf>
    <xf numFmtId="172" fontId="28" fillId="0" borderId="3" xfId="0" applyNumberFormat="1" applyFont="1" applyBorder="1" applyAlignment="1">
      <alignment horizontal="center" vertical="center"/>
    </xf>
    <xf numFmtId="10" fontId="15" fillId="0" borderId="3" xfId="0" applyNumberFormat="1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10" fontId="17" fillId="0" borderId="3" xfId="0" applyNumberFormat="1" applyFont="1" applyBorder="1" applyAlignment="1">
      <alignment vertical="center"/>
    </xf>
    <xf numFmtId="0" fontId="15" fillId="3" borderId="53" xfId="0" applyFont="1" applyFill="1" applyBorder="1"/>
    <xf numFmtId="0" fontId="15" fillId="3" borderId="57" xfId="0" applyFont="1" applyFill="1" applyBorder="1"/>
    <xf numFmtId="0" fontId="15" fillId="3" borderId="2" xfId="0" applyFont="1" applyFill="1" applyBorder="1"/>
    <xf numFmtId="165" fontId="8" fillId="4" borderId="5" xfId="2" applyFont="1" applyFill="1" applyBorder="1" applyAlignment="1" applyProtection="1"/>
    <xf numFmtId="0" fontId="0" fillId="0" borderId="53" xfId="0" applyFont="1" applyBorder="1"/>
    <xf numFmtId="0" fontId="0" fillId="0" borderId="49" xfId="0" applyFont="1" applyBorder="1"/>
    <xf numFmtId="0" fontId="0" fillId="0" borderId="53" xfId="0" applyBorder="1"/>
    <xf numFmtId="165" fontId="0" fillId="0" borderId="5" xfId="2" applyFont="1" applyBorder="1" applyAlignment="1" applyProtection="1">
      <alignment horizontal="center" vertical="center"/>
    </xf>
    <xf numFmtId="10" fontId="29" fillId="0" borderId="53" xfId="3" applyNumberFormat="1" applyFont="1" applyBorder="1" applyAlignment="1" applyProtection="1"/>
    <xf numFmtId="165" fontId="29" fillId="0" borderId="49" xfId="2" applyFont="1" applyBorder="1" applyAlignment="1" applyProtection="1"/>
    <xf numFmtId="10" fontId="5" fillId="0" borderId="2" xfId="2" applyNumberFormat="1" applyFont="1" applyBorder="1" applyAlignment="1" applyProtection="1"/>
    <xf numFmtId="165" fontId="5" fillId="0" borderId="58" xfId="2" applyFont="1" applyBorder="1" applyAlignment="1" applyProtection="1"/>
    <xf numFmtId="165" fontId="8" fillId="4" borderId="5" xfId="2" applyFont="1" applyFill="1" applyBorder="1" applyAlignment="1" applyProtection="1">
      <alignment horizontal="center" vertical="center"/>
    </xf>
    <xf numFmtId="0" fontId="30" fillId="0" borderId="59" xfId="0" applyFont="1" applyBorder="1"/>
    <xf numFmtId="0" fontId="30" fillId="0" borderId="60" xfId="0" applyFont="1" applyBorder="1"/>
    <xf numFmtId="10" fontId="31" fillId="5" borderId="54" xfId="3" applyNumberFormat="1" applyFont="1" applyFill="1" applyBorder="1" applyAlignment="1" applyProtection="1"/>
    <xf numFmtId="165" fontId="31" fillId="5" borderId="61" xfId="0" applyNumberFormat="1" applyFont="1" applyFill="1" applyBorder="1"/>
    <xf numFmtId="10" fontId="8" fillId="5" borderId="48" xfId="3" applyNumberFormat="1" applyFont="1" applyFill="1" applyBorder="1" applyAlignment="1" applyProtection="1"/>
    <xf numFmtId="0" fontId="15" fillId="5" borderId="51" xfId="0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0" fontId="19" fillId="5" borderId="53" xfId="0" applyFont="1" applyFill="1" applyBorder="1" applyAlignment="1">
      <alignment horizontal="center" vertical="center" wrapText="1"/>
    </xf>
    <xf numFmtId="172" fontId="28" fillId="5" borderId="3" xfId="0" applyNumberFormat="1" applyFont="1" applyFill="1" applyBorder="1" applyAlignment="1">
      <alignment horizontal="center" vertical="center"/>
    </xf>
    <xf numFmtId="10" fontId="15" fillId="5" borderId="3" xfId="0" applyNumberFormat="1" applyFont="1" applyFill="1" applyBorder="1" applyAlignment="1">
      <alignment vertical="center"/>
    </xf>
    <xf numFmtId="173" fontId="15" fillId="5" borderId="5" xfId="2" applyNumberFormat="1" applyFont="1" applyFill="1" applyBorder="1" applyAlignment="1" applyProtection="1">
      <alignment horizontal="center" vertical="center"/>
    </xf>
    <xf numFmtId="173" fontId="15" fillId="5" borderId="57" xfId="2" applyNumberFormat="1" applyFont="1" applyFill="1" applyBorder="1" applyAlignment="1" applyProtection="1">
      <alignment horizontal="center" vertical="center"/>
    </xf>
    <xf numFmtId="0" fontId="17" fillId="5" borderId="53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vertical="center"/>
    </xf>
    <xf numFmtId="10" fontId="17" fillId="5" borderId="3" xfId="0" applyNumberFormat="1" applyFont="1" applyFill="1" applyBorder="1" applyAlignment="1">
      <alignment vertical="center"/>
    </xf>
    <xf numFmtId="0" fontId="17" fillId="5" borderId="54" xfId="0" applyFont="1" applyFill="1" applyBorder="1" applyAlignment="1">
      <alignment horizontal="right" vertical="center" wrapText="1"/>
    </xf>
    <xf numFmtId="0" fontId="17" fillId="5" borderId="55" xfId="0" applyFont="1" applyFill="1" applyBorder="1" applyAlignment="1">
      <alignment vertical="center"/>
    </xf>
    <xf numFmtId="10" fontId="17" fillId="5" borderId="55" xfId="0" applyNumberFormat="1" applyFont="1" applyFill="1" applyBorder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28" fillId="0" borderId="0" xfId="0" applyFont="1"/>
    <xf numFmtId="0" fontId="32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15" fillId="8" borderId="2" xfId="0" applyFont="1" applyFill="1" applyBorder="1"/>
    <xf numFmtId="0" fontId="15" fillId="8" borderId="9" xfId="0" applyFont="1" applyFill="1" applyBorder="1"/>
    <xf numFmtId="0" fontId="15" fillId="8" borderId="53" xfId="0" applyFont="1" applyFill="1" applyBorder="1"/>
    <xf numFmtId="0" fontId="15" fillId="8" borderId="57" xfId="0" applyFont="1" applyFill="1" applyBorder="1"/>
    <xf numFmtId="0" fontId="15" fillId="0" borderId="0" xfId="0" applyFont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74" fontId="11" fillId="0" borderId="1" xfId="0" applyNumberFormat="1" applyFont="1" applyBorder="1" applyAlignment="1">
      <alignment horizontal="center" vertical="distributed" wrapText="1"/>
    </xf>
    <xf numFmtId="10" fontId="15" fillId="0" borderId="48" xfId="3" applyNumberFormat="1" applyFont="1" applyBorder="1" applyAlignment="1" applyProtection="1"/>
    <xf numFmtId="0" fontId="5" fillId="0" borderId="3" xfId="0" applyFont="1" applyBorder="1"/>
    <xf numFmtId="0" fontId="5" fillId="8" borderId="3" xfId="0" applyFont="1" applyFill="1" applyBorder="1"/>
    <xf numFmtId="0" fontId="28" fillId="8" borderId="2" xfId="0" applyFont="1" applyFill="1" applyBorder="1" applyAlignment="1">
      <alignment horizontal="center" vertical="center"/>
    </xf>
    <xf numFmtId="0" fontId="28" fillId="8" borderId="3" xfId="0" applyFont="1" applyFill="1" applyBorder="1" applyAlignment="1">
      <alignment horizontal="justify" vertical="center" wrapText="1"/>
    </xf>
    <xf numFmtId="2" fontId="5" fillId="8" borderId="3" xfId="0" applyNumberFormat="1" applyFont="1" applyFill="1" applyBorder="1" applyAlignment="1">
      <alignment horizontal="right" vertical="center"/>
    </xf>
    <xf numFmtId="4" fontId="5" fillId="8" borderId="3" xfId="0" applyNumberFormat="1" applyFont="1" applyFill="1" applyBorder="1" applyAlignment="1">
      <alignment horizontal="right" vertical="center"/>
    </xf>
    <xf numFmtId="165" fontId="28" fillId="8" borderId="5" xfId="0" applyNumberFormat="1" applyFont="1" applyFill="1" applyBorder="1"/>
    <xf numFmtId="165" fontId="15" fillId="8" borderId="59" xfId="0" applyNumberFormat="1" applyFont="1" applyFill="1" applyBorder="1"/>
    <xf numFmtId="165" fontId="15" fillId="8" borderId="60" xfId="0" applyNumberFormat="1" applyFont="1" applyFill="1" applyBorder="1"/>
    <xf numFmtId="165" fontId="28" fillId="8" borderId="0" xfId="0" applyNumberFormat="1" applyFont="1" applyFill="1" applyBorder="1"/>
    <xf numFmtId="0" fontId="5" fillId="0" borderId="2" xfId="0" applyFont="1" applyBorder="1"/>
    <xf numFmtId="164" fontId="0" fillId="0" borderId="3" xfId="1" applyFont="1" applyBorder="1" applyAlignment="1" applyProtection="1"/>
    <xf numFmtId="165" fontId="5" fillId="0" borderId="9" xfId="2" applyFont="1" applyBorder="1" applyAlignment="1" applyProtection="1"/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/>
    <xf numFmtId="165" fontId="4" fillId="8" borderId="3" xfId="2" applyFont="1" applyFill="1" applyBorder="1" applyAlignment="1" applyProtection="1"/>
    <xf numFmtId="0" fontId="0" fillId="0" borderId="3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justify" vertical="center" wrapText="1"/>
    </xf>
    <xf numFmtId="2" fontId="5" fillId="0" borderId="62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0" fontId="15" fillId="0" borderId="59" xfId="0" applyFont="1" applyBorder="1"/>
    <xf numFmtId="0" fontId="15" fillId="0" borderId="60" xfId="0" applyFont="1" applyBorder="1"/>
    <xf numFmtId="0" fontId="15" fillId="9" borderId="9" xfId="0" applyFont="1" applyFill="1" applyBorder="1"/>
    <xf numFmtId="4" fontId="28" fillId="9" borderId="5" xfId="0" applyNumberFormat="1" applyFont="1" applyFill="1" applyBorder="1" applyAlignment="1">
      <alignment horizontal="right" vertical="center"/>
    </xf>
    <xf numFmtId="165" fontId="28" fillId="9" borderId="9" xfId="2" applyFont="1" applyFill="1" applyBorder="1" applyAlignment="1" applyProtection="1"/>
    <xf numFmtId="10" fontId="15" fillId="9" borderId="54" xfId="3" applyNumberFormat="1" applyFont="1" applyFill="1" applyBorder="1" applyAlignment="1" applyProtection="1"/>
    <xf numFmtId="165" fontId="15" fillId="9" borderId="56" xfId="2" applyFont="1" applyFill="1" applyBorder="1" applyAlignment="1" applyProtection="1"/>
    <xf numFmtId="10" fontId="28" fillId="9" borderId="2" xfId="3" applyNumberFormat="1" applyFont="1" applyFill="1" applyBorder="1" applyAlignment="1" applyProtection="1"/>
    <xf numFmtId="165" fontId="28" fillId="9" borderId="5" xfId="2" applyFont="1" applyFill="1" applyBorder="1" applyAlignment="1" applyProtection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64" xfId="0" applyFont="1" applyBorder="1" applyAlignment="1">
      <alignment vertical="center"/>
    </xf>
    <xf numFmtId="0" fontId="2" fillId="0" borderId="6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7" fillId="0" borderId="5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19" fillId="0" borderId="25" xfId="0" applyFont="1" applyBorder="1" applyAlignment="1">
      <alignment horizontal="center" vertical="center" wrapText="1"/>
    </xf>
    <xf numFmtId="173" fontId="15" fillId="0" borderId="58" xfId="2" applyNumberFormat="1" applyFont="1" applyBorder="1" applyAlignment="1" applyProtection="1">
      <alignment vertical="center"/>
    </xf>
    <xf numFmtId="173" fontId="26" fillId="0" borderId="0" xfId="2" applyNumberFormat="1" applyFont="1" applyBorder="1" applyAlignment="1" applyProtection="1">
      <alignment vertical="center"/>
    </xf>
    <xf numFmtId="0" fontId="17" fillId="0" borderId="25" xfId="0" applyFont="1" applyBorder="1" applyAlignment="1">
      <alignment horizontal="right" vertical="center" wrapText="1"/>
    </xf>
    <xf numFmtId="173" fontId="17" fillId="0" borderId="58" xfId="0" applyNumberFormat="1" applyFont="1" applyBorder="1" applyAlignment="1">
      <alignment vertical="center"/>
    </xf>
    <xf numFmtId="173" fontId="12" fillId="0" borderId="0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66" xfId="0" applyFont="1" applyBorder="1" applyAlignment="1">
      <alignment horizontal="right" vertical="center" wrapText="1"/>
    </xf>
    <xf numFmtId="0" fontId="17" fillId="0" borderId="67" xfId="0" applyFont="1" applyBorder="1" applyAlignment="1">
      <alignment vertical="center"/>
    </xf>
    <xf numFmtId="10" fontId="17" fillId="0" borderId="67" xfId="0" applyNumberFormat="1" applyFont="1" applyBorder="1" applyAlignment="1">
      <alignment vertical="center"/>
    </xf>
    <xf numFmtId="173" fontId="17" fillId="0" borderId="68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10" fontId="0" fillId="0" borderId="69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Alignment="1">
      <alignment vertical="center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/>
    <xf numFmtId="164" fontId="0" fillId="0" borderId="71" xfId="1" applyFont="1" applyBorder="1" applyAlignment="1" applyProtection="1"/>
    <xf numFmtId="0" fontId="0" fillId="0" borderId="71" xfId="0" applyBorder="1"/>
    <xf numFmtId="0" fontId="0" fillId="0" borderId="70" xfId="0" applyFont="1" applyBorder="1" applyAlignment="1">
      <alignment horizontal="center" vertical="center"/>
    </xf>
    <xf numFmtId="0" fontId="0" fillId="0" borderId="71" xfId="0" applyFont="1" applyBorder="1" applyAlignment="1">
      <alignment vertical="center" wrapText="1"/>
    </xf>
    <xf numFmtId="0" fontId="10" fillId="0" borderId="0" xfId="0" applyFont="1"/>
    <xf numFmtId="0" fontId="4" fillId="0" borderId="70" xfId="0" applyFont="1" applyBorder="1" applyAlignment="1">
      <alignment horizontal="center"/>
    </xf>
    <xf numFmtId="0" fontId="0" fillId="0" borderId="71" xfId="0" applyFont="1" applyBorder="1" applyAlignment="1">
      <alignment wrapText="1"/>
    </xf>
    <xf numFmtId="0" fontId="0" fillId="0" borderId="71" xfId="0" applyFont="1" applyBorder="1" applyAlignment="1">
      <alignment horizontal="center" vertical="center"/>
    </xf>
    <xf numFmtId="165" fontId="33" fillId="0" borderId="1" xfId="2" applyBorder="1"/>
    <xf numFmtId="165" fontId="33" fillId="0" borderId="42" xfId="2" applyBorder="1"/>
    <xf numFmtId="0" fontId="38" fillId="0" borderId="0" xfId="0" applyFont="1" applyAlignment="1">
      <alignment horizontal="right"/>
    </xf>
    <xf numFmtId="10" fontId="4" fillId="0" borderId="2" xfId="3" applyNumberFormat="1" applyFont="1" applyBorder="1" applyAlignment="1" applyProtection="1">
      <alignment horizontal="left" vertical="center"/>
    </xf>
    <xf numFmtId="165" fontId="33" fillId="0" borderId="39" xfId="2" applyBorder="1" applyProtection="1"/>
    <xf numFmtId="10" fontId="0" fillId="0" borderId="8" xfId="0" applyNumberFormat="1" applyBorder="1" applyAlignment="1">
      <alignment horizontal="left"/>
    </xf>
    <xf numFmtId="0" fontId="8" fillId="3" borderId="3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 applyProtection="1">
      <protection locked="0"/>
    </xf>
    <xf numFmtId="165" fontId="37" fillId="0" borderId="75" xfId="2" applyFont="1" applyBorder="1"/>
    <xf numFmtId="0" fontId="35" fillId="0" borderId="3" xfId="5" applyFont="1" applyFill="1" applyBorder="1" applyAlignment="1">
      <alignment horizontal="center" vertical="center"/>
    </xf>
    <xf numFmtId="49" fontId="36" fillId="0" borderId="3" xfId="5" applyNumberFormat="1" applyFont="1" applyFill="1" applyBorder="1" applyAlignment="1">
      <alignment horizontal="center" vertical="center"/>
    </xf>
    <xf numFmtId="4" fontId="35" fillId="0" borderId="3" xfId="5" applyNumberFormat="1" applyFont="1" applyFill="1" applyBorder="1" applyAlignment="1">
      <alignment horizontal="right" vertical="center"/>
    </xf>
    <xf numFmtId="43" fontId="35" fillId="0" borderId="3" xfId="6" applyFont="1" applyFill="1" applyBorder="1" applyAlignment="1">
      <alignment horizontal="left" vertical="center" wrapText="1"/>
    </xf>
    <xf numFmtId="0" fontId="36" fillId="0" borderId="3" xfId="5" applyFont="1" applyFill="1" applyBorder="1" applyAlignment="1">
      <alignment horizontal="center" vertical="center"/>
    </xf>
    <xf numFmtId="0" fontId="42" fillId="0" borderId="3" xfId="5" applyFont="1" applyFill="1" applyBorder="1" applyAlignment="1">
      <alignment horizontal="left" vertical="center" wrapText="1"/>
    </xf>
    <xf numFmtId="4" fontId="35" fillId="0" borderId="3" xfId="5" applyNumberFormat="1" applyFont="1" applyFill="1" applyBorder="1" applyAlignment="1">
      <alignment horizontal="center" vertical="center"/>
    </xf>
    <xf numFmtId="0" fontId="41" fillId="0" borderId="3" xfId="5" applyFont="1" applyFill="1" applyBorder="1" applyAlignment="1">
      <alignment horizontal="left" wrapText="1"/>
    </xf>
    <xf numFmtId="43" fontId="39" fillId="0" borderId="3" xfId="6" applyFont="1" applyFill="1" applyBorder="1" applyAlignment="1">
      <alignment horizontal="center" vertical="center" wrapText="1"/>
    </xf>
    <xf numFmtId="165" fontId="33" fillId="0" borderId="3" xfId="2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8" fillId="3" borderId="3" xfId="0" applyFont="1" applyFill="1" applyBorder="1" applyAlignment="1">
      <alignment horizontal="center" vertical="center"/>
    </xf>
    <xf numFmtId="0" fontId="44" fillId="0" borderId="3" xfId="5" applyFont="1" applyFill="1" applyBorder="1" applyAlignment="1">
      <alignment horizontal="center" vertical="center"/>
    </xf>
    <xf numFmtId="49" fontId="44" fillId="0" borderId="3" xfId="5" applyNumberFormat="1" applyFont="1" applyFill="1" applyBorder="1" applyAlignment="1">
      <alignment horizontal="center" vertical="center"/>
    </xf>
    <xf numFmtId="0" fontId="45" fillId="0" borderId="3" xfId="5" applyFont="1" applyFill="1" applyBorder="1" applyAlignment="1">
      <alignment horizontal="left" vertical="center" wrapText="1"/>
    </xf>
    <xf numFmtId="43" fontId="46" fillId="0" borderId="3" xfId="6" applyFont="1" applyFill="1" applyBorder="1" applyAlignment="1">
      <alignment horizontal="center" vertical="center" wrapText="1"/>
    </xf>
    <xf numFmtId="4" fontId="44" fillId="0" borderId="3" xfId="5" applyNumberFormat="1" applyFont="1" applyFill="1" applyBorder="1" applyAlignment="1">
      <alignment horizontal="center" vertical="center"/>
    </xf>
    <xf numFmtId="165" fontId="47" fillId="0" borderId="3" xfId="2" applyFont="1" applyBorder="1" applyAlignment="1">
      <alignment horizontal="center" vertical="center"/>
    </xf>
    <xf numFmtId="0" fontId="45" fillId="0" borderId="3" xfId="5" applyFont="1" applyFill="1" applyBorder="1" applyAlignment="1">
      <alignment wrapText="1"/>
    </xf>
    <xf numFmtId="0" fontId="48" fillId="0" borderId="3" xfId="5" applyFont="1" applyFill="1" applyBorder="1" applyAlignment="1">
      <alignment horizontal="center" vertical="center"/>
    </xf>
    <xf numFmtId="49" fontId="48" fillId="0" borderId="3" xfId="5" applyNumberFormat="1" applyFont="1" applyFill="1" applyBorder="1" applyAlignment="1">
      <alignment horizontal="center" vertical="center"/>
    </xf>
    <xf numFmtId="0" fontId="49" fillId="0" borderId="3" xfId="5" applyFont="1" applyFill="1" applyBorder="1" applyAlignment="1">
      <alignment horizontal="left" vertical="center" wrapText="1"/>
    </xf>
    <xf numFmtId="4" fontId="44" fillId="0" borderId="3" xfId="5" applyNumberFormat="1" applyFont="1" applyFill="1" applyBorder="1" applyAlignment="1">
      <alignment horizontal="right" vertical="center"/>
    </xf>
    <xf numFmtId="0" fontId="50" fillId="0" borderId="3" xfId="5" applyFont="1" applyFill="1" applyBorder="1" applyAlignment="1">
      <alignment horizontal="center" vertical="center"/>
    </xf>
    <xf numFmtId="4" fontId="50" fillId="0" borderId="3" xfId="5" applyNumberFormat="1" applyFont="1" applyFill="1" applyBorder="1" applyAlignment="1">
      <alignment horizontal="center" vertical="center"/>
    </xf>
    <xf numFmtId="43" fontId="52" fillId="0" borderId="3" xfId="6" applyFont="1" applyFill="1" applyBorder="1" applyAlignment="1">
      <alignment horizontal="center" vertical="center" wrapText="1"/>
    </xf>
    <xf numFmtId="165" fontId="53" fillId="0" borderId="3" xfId="2" applyFont="1" applyBorder="1" applyAlignment="1">
      <alignment horizontal="center" vertical="center"/>
    </xf>
    <xf numFmtId="0" fontId="51" fillId="0" borderId="3" xfId="5" applyFont="1" applyFill="1" applyBorder="1" applyAlignment="1">
      <alignment horizontal="left" wrapText="1"/>
    </xf>
    <xf numFmtId="0" fontId="45" fillId="0" borderId="3" xfId="5" applyFont="1" applyFill="1" applyBorder="1" applyAlignment="1">
      <alignment horizontal="left" wrapText="1"/>
    </xf>
    <xf numFmtId="0" fontId="45" fillId="0" borderId="3" xfId="5" applyFont="1" applyFill="1" applyBorder="1" applyAlignment="1">
      <alignment vertical="center" wrapText="1"/>
    </xf>
    <xf numFmtId="165" fontId="54" fillId="0" borderId="3" xfId="2" applyFont="1" applyBorder="1" applyAlignment="1">
      <alignment horizontal="center" vertical="center"/>
    </xf>
    <xf numFmtId="165" fontId="56" fillId="0" borderId="3" xfId="0" applyNumberFormat="1" applyFont="1" applyBorder="1"/>
    <xf numFmtId="165" fontId="43" fillId="0" borderId="3" xfId="0" applyNumberFormat="1" applyFont="1" applyBorder="1"/>
    <xf numFmtId="0" fontId="57" fillId="0" borderId="3" xfId="5" applyFont="1" applyFill="1" applyBorder="1" applyAlignment="1">
      <alignment horizontal="left" vertical="center" wrapText="1"/>
    </xf>
    <xf numFmtId="14" fontId="20" fillId="0" borderId="0" xfId="0" applyNumberFormat="1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42" fillId="0" borderId="3" xfId="5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165" fontId="55" fillId="0" borderId="5" xfId="0" applyNumberFormat="1" applyFont="1" applyBorder="1" applyAlignment="1">
      <alignment horizontal="center"/>
    </xf>
    <xf numFmtId="165" fontId="55" fillId="0" borderId="2" xfId="0" applyNumberFormat="1" applyFont="1" applyBorder="1" applyAlignment="1">
      <alignment horizontal="center"/>
    </xf>
    <xf numFmtId="165" fontId="56" fillId="0" borderId="5" xfId="0" applyNumberFormat="1" applyFont="1" applyBorder="1" applyAlignment="1">
      <alignment horizontal="center"/>
    </xf>
    <xf numFmtId="165" fontId="56" fillId="0" borderId="2" xfId="0" applyNumberFormat="1" applyFont="1" applyBorder="1" applyAlignment="1">
      <alignment horizontal="center"/>
    </xf>
    <xf numFmtId="0" fontId="15" fillId="0" borderId="5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43" fillId="0" borderId="72" xfId="0" applyFont="1" applyBorder="1" applyAlignment="1">
      <alignment horizontal="center"/>
    </xf>
    <xf numFmtId="0" fontId="0" fillId="0" borderId="72" xfId="0" applyBorder="1" applyAlignment="1">
      <alignment horizontal="center"/>
    </xf>
    <xf numFmtId="0" fontId="42" fillId="0" borderId="3" xfId="5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/>
    </xf>
    <xf numFmtId="4" fontId="4" fillId="7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4" fillId="7" borderId="1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18" fillId="7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21" fillId="6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7" borderId="10" xfId="0" applyFont="1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49" fontId="0" fillId="0" borderId="73" xfId="0" applyNumberFormat="1" applyBorder="1" applyAlignment="1">
      <alignment horizontal="left" vertical="center" wrapText="1"/>
    </xf>
    <xf numFmtId="49" fontId="0" fillId="0" borderId="62" xfId="0" applyNumberFormat="1" applyBorder="1" applyAlignment="1">
      <alignment horizontal="left" vertical="center" wrapText="1"/>
    </xf>
    <xf numFmtId="49" fontId="0" fillId="0" borderId="74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0" fontId="24" fillId="7" borderId="24" xfId="0" applyFont="1" applyFill="1" applyBorder="1" applyAlignment="1">
      <alignment horizontal="right" vertical="center"/>
    </xf>
    <xf numFmtId="0" fontId="24" fillId="7" borderId="27" xfId="0" applyFont="1" applyFill="1" applyBorder="1" applyAlignment="1">
      <alignment horizontal="right" vertical="center"/>
    </xf>
    <xf numFmtId="0" fontId="11" fillId="6" borderId="29" xfId="0" applyFont="1" applyFill="1" applyBorder="1" applyAlignment="1" applyProtection="1">
      <alignment horizontal="justify" vertical="center"/>
      <protection locked="0"/>
    </xf>
    <xf numFmtId="0" fontId="24" fillId="0" borderId="30" xfId="0" applyFont="1" applyBorder="1" applyAlignment="1">
      <alignment horizontal="justify" vertical="center"/>
    </xf>
    <xf numFmtId="0" fontId="24" fillId="7" borderId="31" xfId="0" applyFont="1" applyFill="1" applyBorder="1" applyAlignment="1">
      <alignment horizontal="justify" vertical="center"/>
    </xf>
    <xf numFmtId="173" fontId="17" fillId="5" borderId="49" xfId="0" applyNumberFormat="1" applyFont="1" applyFill="1" applyBorder="1" applyAlignment="1">
      <alignment horizontal="center" vertical="center"/>
    </xf>
    <xf numFmtId="173" fontId="17" fillId="5" borderId="56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19" fillId="5" borderId="50" xfId="0" applyFont="1" applyFill="1" applyBorder="1" applyAlignment="1">
      <alignment horizontal="left" vertical="center" wrapText="1"/>
    </xf>
    <xf numFmtId="0" fontId="2" fillId="5" borderId="52" xfId="0" applyFont="1" applyFill="1" applyBorder="1" applyAlignment="1">
      <alignment horizontal="center" vertical="center"/>
    </xf>
    <xf numFmtId="0" fontId="17" fillId="5" borderId="49" xfId="0" applyFont="1" applyFill="1" applyBorder="1" applyAlignment="1">
      <alignment horizontal="center" vertical="center"/>
    </xf>
    <xf numFmtId="173" fontId="15" fillId="5" borderId="49" xfId="2" applyNumberFormat="1" applyFont="1" applyFill="1" applyBorder="1" applyAlignment="1" applyProtection="1">
      <alignment horizontal="center" vertical="center"/>
    </xf>
    <xf numFmtId="0" fontId="28" fillId="9" borderId="2" xfId="0" applyFont="1" applyFill="1" applyBorder="1" applyAlignment="1">
      <alignment horizontal="right" vertical="center"/>
    </xf>
    <xf numFmtId="0" fontId="19" fillId="0" borderId="63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</cellXfs>
  <cellStyles count="7">
    <cellStyle name="Moeda" xfId="2" builtinId="4"/>
    <cellStyle name="Normal" xfId="0" builtinId="0"/>
    <cellStyle name="Normal 2_3_-_PLANILHA_MODELO_e_Boletim_CPOS_157" xfId="5"/>
    <cellStyle name="Porcentagem" xfId="3" builtinId="5"/>
    <cellStyle name="Texto Explicativo" xfId="4" builtinId="53" customBuiltin="1"/>
    <cellStyle name="Vírgula" xfId="1" builtinId="3"/>
    <cellStyle name="Vírgula 2" xfId="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427680</xdr:colOff>
      <xdr:row>7</xdr:row>
      <xdr:rowOff>122760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2336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424080</xdr:colOff>
      <xdr:row>7</xdr:row>
      <xdr:rowOff>122760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1976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510622</xdr:colOff>
      <xdr:row>6</xdr:row>
      <xdr:rowOff>8280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888414" cy="11512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211264</xdr:colOff>
      <xdr:row>6</xdr:row>
      <xdr:rowOff>8280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888414" cy="11512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211264</xdr:colOff>
      <xdr:row>6</xdr:row>
      <xdr:rowOff>8280</xdr:rowOff>
    </xdr:to>
    <xdr:pic>
      <xdr:nvPicPr>
        <xdr:cNvPr id="4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889242" cy="11512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360720</xdr:colOff>
      <xdr:row>7</xdr:row>
      <xdr:rowOff>81720</xdr:rowOff>
    </xdr:to>
    <xdr:pic>
      <xdr:nvPicPr>
        <xdr:cNvPr id="5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60440" cy="1415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57240</xdr:colOff>
      <xdr:row>0</xdr:row>
      <xdr:rowOff>0</xdr:rowOff>
    </xdr:from>
    <xdr:to>
      <xdr:col>11</xdr:col>
      <xdr:colOff>503715</xdr:colOff>
      <xdr:row>5</xdr:row>
      <xdr:rowOff>122760</xdr:rowOff>
    </xdr:to>
    <xdr:pic>
      <xdr:nvPicPr>
        <xdr:cNvPr id="7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57240" y="0"/>
          <a:ext cx="10516680" cy="107496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427680</xdr:colOff>
      <xdr:row>7</xdr:row>
      <xdr:rowOff>122760</xdr:rowOff>
    </xdr:to>
    <xdr:pic>
      <xdr:nvPicPr>
        <xdr:cNvPr id="14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2336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66600</xdr:colOff>
      <xdr:row>0</xdr:row>
      <xdr:rowOff>28440</xdr:rowOff>
    </xdr:from>
    <xdr:to>
      <xdr:col>5</xdr:col>
      <xdr:colOff>490680</xdr:colOff>
      <xdr:row>7</xdr:row>
      <xdr:rowOff>151200</xdr:rowOff>
    </xdr:to>
    <xdr:pic>
      <xdr:nvPicPr>
        <xdr:cNvPr id="15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66600" y="28440"/>
          <a:ext cx="761976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76320</xdr:rowOff>
    </xdr:from>
    <xdr:to>
      <xdr:col>7</xdr:col>
      <xdr:colOff>613440</xdr:colOff>
      <xdr:row>7</xdr:row>
      <xdr:rowOff>141840</xdr:rowOff>
    </xdr:to>
    <xdr:pic>
      <xdr:nvPicPr>
        <xdr:cNvPr id="16" name="Imagem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66760"/>
          <a:ext cx="8595720" cy="12085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view="pageBreakPreview" topLeftCell="A13" workbookViewId="0">
      <selection activeCell="I15" sqref="I15"/>
    </sheetView>
  </sheetViews>
  <sheetFormatPr defaultRowHeight="15" x14ac:dyDescent="0.25"/>
  <cols>
    <col min="1" max="1" width="5.28515625" customWidth="1"/>
    <col min="2" max="2" width="13.140625" customWidth="1"/>
    <col min="3" max="3" width="9.42578125" customWidth="1"/>
    <col min="4" max="4" width="49.28515625" customWidth="1"/>
    <col min="5" max="5" width="9.5703125" customWidth="1"/>
    <col min="6" max="6" width="5.140625" customWidth="1"/>
    <col min="7" max="7" width="13.7109375" customWidth="1"/>
    <col min="8" max="8" width="14.28515625" customWidth="1"/>
    <col min="9" max="10" width="8.7109375" customWidth="1"/>
    <col min="11" max="11" width="9.140625" customWidth="1"/>
    <col min="12" max="12" width="13.7109375" customWidth="1"/>
    <col min="13" max="13" width="8.7109375" customWidth="1"/>
    <col min="14" max="14" width="13.28515625" customWidth="1"/>
    <col min="15" max="1025" width="8.7109375" customWidth="1"/>
  </cols>
  <sheetData>
    <row r="1" spans="1:8" x14ac:dyDescent="0.25">
      <c r="A1" t="s">
        <v>0</v>
      </c>
    </row>
    <row r="2" spans="1:8" ht="3.75" customHeight="1" x14ac:dyDescent="0.25"/>
    <row r="3" spans="1:8" x14ac:dyDescent="0.25">
      <c r="A3" t="s">
        <v>1</v>
      </c>
    </row>
    <row r="4" spans="1:8" ht="3" customHeight="1" x14ac:dyDescent="0.25"/>
    <row r="5" spans="1:8" x14ac:dyDescent="0.25">
      <c r="A5" t="s">
        <v>2</v>
      </c>
      <c r="G5" s="1" t="s">
        <v>3</v>
      </c>
      <c r="H5" s="1"/>
    </row>
    <row r="7" spans="1:8" ht="15" customHeight="1" x14ac:dyDescent="0.25">
      <c r="A7" s="330" t="s">
        <v>4</v>
      </c>
      <c r="B7" s="331" t="s">
        <v>5</v>
      </c>
      <c r="C7" s="331" t="s">
        <v>6</v>
      </c>
      <c r="D7" s="330" t="s">
        <v>7</v>
      </c>
      <c r="E7" s="330" t="s">
        <v>8</v>
      </c>
      <c r="F7" s="330" t="s">
        <v>9</v>
      </c>
      <c r="G7" s="330" t="s">
        <v>10</v>
      </c>
      <c r="H7" s="330"/>
    </row>
    <row r="8" spans="1:8" x14ac:dyDescent="0.25">
      <c r="A8" s="330"/>
      <c r="B8" s="331"/>
      <c r="C8" s="331"/>
      <c r="D8" s="330"/>
      <c r="E8" s="330"/>
      <c r="F8" s="330"/>
      <c r="G8" s="2" t="s">
        <v>11</v>
      </c>
      <c r="H8" s="2" t="s">
        <v>12</v>
      </c>
    </row>
    <row r="9" spans="1:8" x14ac:dyDescent="0.25">
      <c r="A9" s="2">
        <v>1</v>
      </c>
      <c r="B9" s="2"/>
      <c r="C9" s="2"/>
      <c r="D9" s="4" t="s">
        <v>13</v>
      </c>
      <c r="E9" s="1"/>
      <c r="F9" s="1"/>
      <c r="G9" s="1"/>
      <c r="H9" s="1"/>
    </row>
    <row r="10" spans="1:8" ht="30" x14ac:dyDescent="0.25">
      <c r="A10" s="2" t="s">
        <v>14</v>
      </c>
      <c r="B10" s="3" t="s">
        <v>15</v>
      </c>
      <c r="C10" s="2">
        <v>40695</v>
      </c>
      <c r="D10" s="5" t="s">
        <v>16</v>
      </c>
      <c r="E10" s="6">
        <v>4.5</v>
      </c>
      <c r="F10" s="1" t="s">
        <v>17</v>
      </c>
      <c r="G10" s="7">
        <v>143.38999999999999</v>
      </c>
      <c r="H10" s="7">
        <f t="shared" ref="H10:H24" si="0">G10*E10</f>
        <v>645.25499999999988</v>
      </c>
    </row>
    <row r="11" spans="1:8" x14ac:dyDescent="0.25">
      <c r="A11" s="2">
        <v>2</v>
      </c>
      <c r="B11" s="3"/>
      <c r="C11" s="2"/>
      <c r="D11" s="4" t="s">
        <v>18</v>
      </c>
      <c r="E11" s="6"/>
      <c r="F11" s="1"/>
      <c r="G11" s="7"/>
      <c r="H11" s="7">
        <f t="shared" si="0"/>
        <v>0</v>
      </c>
    </row>
    <row r="12" spans="1:8" ht="45" x14ac:dyDescent="0.25">
      <c r="A12" s="2" t="s">
        <v>19</v>
      </c>
      <c r="B12" s="3" t="s">
        <v>20</v>
      </c>
      <c r="C12" s="2">
        <v>40725</v>
      </c>
      <c r="D12" s="8" t="s">
        <v>21</v>
      </c>
      <c r="E12" s="6">
        <v>2250</v>
      </c>
      <c r="F12" s="1" t="s">
        <v>22</v>
      </c>
      <c r="G12" s="7">
        <v>7.64</v>
      </c>
      <c r="H12" s="7">
        <f t="shared" si="0"/>
        <v>17190</v>
      </c>
    </row>
    <row r="13" spans="1:8" ht="60" x14ac:dyDescent="0.25">
      <c r="A13" s="2" t="s">
        <v>23</v>
      </c>
      <c r="B13" s="3" t="s">
        <v>24</v>
      </c>
      <c r="C13" s="2">
        <v>40725</v>
      </c>
      <c r="D13" s="8" t="s">
        <v>25</v>
      </c>
      <c r="E13" s="6">
        <v>1830</v>
      </c>
      <c r="F13" s="1" t="s">
        <v>22</v>
      </c>
      <c r="G13" s="7">
        <v>9.2899999999999991</v>
      </c>
      <c r="H13" s="7">
        <f t="shared" si="0"/>
        <v>17000.699999999997</v>
      </c>
    </row>
    <row r="14" spans="1:8" ht="30" x14ac:dyDescent="0.25">
      <c r="A14" s="2" t="s">
        <v>26</v>
      </c>
      <c r="B14" s="3" t="s">
        <v>27</v>
      </c>
      <c r="C14" s="2">
        <v>40725</v>
      </c>
      <c r="D14" s="8" t="s">
        <v>28</v>
      </c>
      <c r="E14" s="6">
        <v>650</v>
      </c>
      <c r="F14" s="1" t="s">
        <v>17</v>
      </c>
      <c r="G14" s="7">
        <v>3.93</v>
      </c>
      <c r="H14" s="7">
        <f t="shared" si="0"/>
        <v>2554.5</v>
      </c>
    </row>
    <row r="15" spans="1:8" x14ac:dyDescent="0.25">
      <c r="A15" s="2">
        <v>3</v>
      </c>
      <c r="B15" s="3"/>
      <c r="C15" s="2"/>
      <c r="D15" s="4" t="s">
        <v>29</v>
      </c>
      <c r="E15" s="6"/>
      <c r="F15" s="1"/>
      <c r="G15" s="7"/>
      <c r="H15" s="7">
        <f t="shared" si="0"/>
        <v>0</v>
      </c>
    </row>
    <row r="16" spans="1:8" x14ac:dyDescent="0.25">
      <c r="A16" s="2" t="s">
        <v>30</v>
      </c>
      <c r="B16" s="2" t="s">
        <v>31</v>
      </c>
      <c r="C16" s="2">
        <v>40695</v>
      </c>
      <c r="D16" s="1" t="s">
        <v>32</v>
      </c>
      <c r="E16" s="6">
        <v>200</v>
      </c>
      <c r="F16" s="1" t="s">
        <v>33</v>
      </c>
      <c r="G16" s="7">
        <v>122.39</v>
      </c>
      <c r="H16" s="7">
        <f t="shared" si="0"/>
        <v>24478</v>
      </c>
    </row>
    <row r="17" spans="1:14" x14ac:dyDescent="0.25">
      <c r="A17" s="2" t="s">
        <v>34</v>
      </c>
      <c r="B17" s="2" t="s">
        <v>35</v>
      </c>
      <c r="C17" s="2">
        <v>40695</v>
      </c>
      <c r="D17" s="1" t="s">
        <v>36</v>
      </c>
      <c r="E17" s="6">
        <v>450</v>
      </c>
      <c r="F17" s="1" t="s">
        <v>33</v>
      </c>
      <c r="G17" s="7">
        <v>280.39</v>
      </c>
      <c r="H17" s="7">
        <f t="shared" si="0"/>
        <v>126175.5</v>
      </c>
    </row>
    <row r="18" spans="1:14" x14ac:dyDescent="0.25">
      <c r="A18" s="2" t="s">
        <v>37</v>
      </c>
      <c r="B18" s="2" t="s">
        <v>38</v>
      </c>
      <c r="C18" s="2">
        <v>40695</v>
      </c>
      <c r="D18" s="1" t="s">
        <v>39</v>
      </c>
      <c r="E18" s="6">
        <v>20</v>
      </c>
      <c r="F18" s="1" t="s">
        <v>33</v>
      </c>
      <c r="G18" s="7">
        <v>394.21</v>
      </c>
      <c r="H18" s="7">
        <f t="shared" si="0"/>
        <v>7884.2</v>
      </c>
    </row>
    <row r="19" spans="1:14" x14ac:dyDescent="0.25">
      <c r="A19" s="4">
        <v>4</v>
      </c>
      <c r="B19" s="9"/>
      <c r="C19" s="4"/>
      <c r="D19" s="4" t="s">
        <v>40</v>
      </c>
      <c r="E19" s="6"/>
      <c r="F19" s="1"/>
      <c r="G19" s="7"/>
      <c r="H19" s="7">
        <f t="shared" si="0"/>
        <v>0</v>
      </c>
    </row>
    <row r="20" spans="1:14" ht="75" x14ac:dyDescent="0.25">
      <c r="A20" s="2" t="s">
        <v>41</v>
      </c>
      <c r="B20" s="3" t="s">
        <v>42</v>
      </c>
      <c r="C20" s="2"/>
      <c r="D20" s="10" t="s">
        <v>43</v>
      </c>
      <c r="E20" s="2">
        <v>18</v>
      </c>
      <c r="F20" s="2" t="s">
        <v>44</v>
      </c>
      <c r="G20" s="11">
        <f>1402.91*1.3</f>
        <v>1823.7830000000001</v>
      </c>
      <c r="H20" s="11">
        <f t="shared" si="0"/>
        <v>32828.094000000005</v>
      </c>
      <c r="J20" s="2">
        <f>1402.91*1.3</f>
        <v>1823.7830000000001</v>
      </c>
      <c r="K20" s="2">
        <v>18</v>
      </c>
      <c r="L20">
        <f>J20*K20</f>
        <v>32828.094000000005</v>
      </c>
    </row>
    <row r="21" spans="1:14" ht="75" x14ac:dyDescent="0.25">
      <c r="A21" s="2" t="s">
        <v>45</v>
      </c>
      <c r="B21" s="3" t="s">
        <v>46</v>
      </c>
      <c r="C21" s="2"/>
      <c r="D21" s="10" t="s">
        <v>47</v>
      </c>
      <c r="E21" s="2">
        <v>4</v>
      </c>
      <c r="F21" s="2" t="s">
        <v>44</v>
      </c>
      <c r="G21" s="11">
        <f>2007.58*1.3</f>
        <v>2609.8539999999998</v>
      </c>
      <c r="H21" s="11">
        <f t="shared" si="0"/>
        <v>10439.415999999999</v>
      </c>
      <c r="J21" s="2">
        <v>2650</v>
      </c>
      <c r="K21" s="2">
        <v>4</v>
      </c>
      <c r="L21">
        <f>J21*K21</f>
        <v>10600</v>
      </c>
    </row>
    <row r="22" spans="1:14" ht="75" x14ac:dyDescent="0.25">
      <c r="A22" s="2" t="s">
        <v>48</v>
      </c>
      <c r="B22" s="3" t="s">
        <v>49</v>
      </c>
      <c r="C22" s="2"/>
      <c r="D22" s="10" t="s">
        <v>50</v>
      </c>
      <c r="E22" s="2">
        <v>5</v>
      </c>
      <c r="F22" s="2" t="s">
        <v>44</v>
      </c>
      <c r="G22" s="11">
        <f>2782.64*1.3</f>
        <v>3617.4319999999998</v>
      </c>
      <c r="H22" s="11">
        <f t="shared" si="0"/>
        <v>18087.16</v>
      </c>
      <c r="J22" s="2">
        <v>3200</v>
      </c>
      <c r="K22" s="2">
        <v>5</v>
      </c>
      <c r="L22">
        <f>J22*K22</f>
        <v>16000</v>
      </c>
    </row>
    <row r="23" spans="1:14" ht="45" x14ac:dyDescent="0.25">
      <c r="A23" s="2" t="s">
        <v>51</v>
      </c>
      <c r="B23" s="3" t="s">
        <v>52</v>
      </c>
      <c r="C23" s="2"/>
      <c r="D23" s="10" t="s">
        <v>53</v>
      </c>
      <c r="E23" s="2">
        <v>1</v>
      </c>
      <c r="F23" s="2" t="s">
        <v>44</v>
      </c>
      <c r="G23" s="11">
        <f>3721.26*1.3</f>
        <v>4837.6380000000008</v>
      </c>
      <c r="H23" s="11">
        <f t="shared" si="0"/>
        <v>4837.6380000000008</v>
      </c>
      <c r="J23" s="2">
        <v>4300</v>
      </c>
      <c r="K23" s="2">
        <v>1</v>
      </c>
      <c r="L23">
        <f>J23*K23</f>
        <v>4300</v>
      </c>
    </row>
    <row r="24" spans="1:14" x14ac:dyDescent="0.25">
      <c r="A24" s="2" t="s">
        <v>54</v>
      </c>
      <c r="B24" s="3" t="s">
        <v>55</v>
      </c>
      <c r="C24" s="2"/>
      <c r="D24" s="10" t="s">
        <v>56</v>
      </c>
      <c r="E24" s="2">
        <v>1</v>
      </c>
      <c r="F24" s="2" t="s">
        <v>44</v>
      </c>
      <c r="G24" s="11">
        <v>5350</v>
      </c>
      <c r="H24" s="11">
        <f t="shared" si="0"/>
        <v>5350</v>
      </c>
      <c r="J24" s="2">
        <v>5350</v>
      </c>
      <c r="K24" s="2">
        <v>1</v>
      </c>
      <c r="L24">
        <f>J24*K24</f>
        <v>5350</v>
      </c>
    </row>
    <row r="25" spans="1:14" x14ac:dyDescent="0.25">
      <c r="A25" s="1"/>
      <c r="B25" s="1"/>
      <c r="C25" s="1"/>
      <c r="D25" s="1"/>
      <c r="E25" s="2"/>
      <c r="F25" s="2"/>
      <c r="G25" s="11"/>
      <c r="H25" s="11">
        <f>SUM(H10:H24)</f>
        <v>267470.46300000005</v>
      </c>
      <c r="L25">
        <f>SUM(L20:L24)</f>
        <v>69078.094000000012</v>
      </c>
      <c r="N25" s="12">
        <f>SUM(H20:H24)</f>
        <v>71542.308000000005</v>
      </c>
    </row>
    <row r="27" spans="1:14" x14ac:dyDescent="0.25">
      <c r="E27" s="13" t="s">
        <v>57</v>
      </c>
    </row>
  </sheetData>
  <mergeCells count="7">
    <mergeCell ref="F7:F8"/>
    <mergeCell ref="G7:H7"/>
    <mergeCell ref="A7:A8"/>
    <mergeCell ref="B7:B8"/>
    <mergeCell ref="C7:C8"/>
    <mergeCell ref="D7:D8"/>
    <mergeCell ref="E7:E8"/>
  </mergeCells>
  <pageMargins left="0.31527777777777799" right="0.31527777777777799" top="0.78749999999999998" bottom="0.78749999999999998" header="0.51180555555555496" footer="0.51180555555555496"/>
  <pageSetup firstPageNumber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workbookViewId="0">
      <selection activeCell="F11" sqref="F11"/>
    </sheetView>
  </sheetViews>
  <sheetFormatPr defaultRowHeight="15" x14ac:dyDescent="0.25"/>
  <cols>
    <col min="1" max="1" width="8.7109375" customWidth="1"/>
    <col min="2" max="2" width="38.42578125" customWidth="1"/>
    <col min="3" max="1025" width="8.7109375" customWidth="1"/>
  </cols>
  <sheetData>
    <row r="1" spans="1:4" x14ac:dyDescent="0.25">
      <c r="A1" s="379" t="s">
        <v>4</v>
      </c>
      <c r="B1" s="379" t="s">
        <v>7</v>
      </c>
      <c r="C1" s="379" t="s">
        <v>8</v>
      </c>
      <c r="D1" s="379" t="s">
        <v>9</v>
      </c>
    </row>
    <row r="2" spans="1:4" x14ac:dyDescent="0.25">
      <c r="A2" s="379"/>
      <c r="B2" s="379"/>
      <c r="C2" s="379"/>
      <c r="D2" s="379"/>
    </row>
    <row r="3" spans="1:4" x14ac:dyDescent="0.25">
      <c r="A3" s="273">
        <v>1</v>
      </c>
      <c r="B3" s="274" t="s">
        <v>18</v>
      </c>
      <c r="C3" s="275"/>
      <c r="D3" s="276"/>
    </row>
    <row r="4" spans="1:4" ht="65.25" customHeight="1" x14ac:dyDescent="0.25">
      <c r="A4" s="277" t="s">
        <v>14</v>
      </c>
      <c r="B4" s="278" t="s">
        <v>62</v>
      </c>
      <c r="C4" s="275">
        <v>936</v>
      </c>
      <c r="D4" s="276" t="s">
        <v>22</v>
      </c>
    </row>
    <row r="5" spans="1:4" ht="77.25" customHeight="1" x14ac:dyDescent="0.25">
      <c r="A5" s="277" t="s">
        <v>63</v>
      </c>
      <c r="B5" s="278" t="s">
        <v>25</v>
      </c>
      <c r="C5" s="275">
        <v>890.49</v>
      </c>
      <c r="D5" s="276" t="s">
        <v>22</v>
      </c>
    </row>
    <row r="6" spans="1:4" ht="33.75" customHeight="1" x14ac:dyDescent="0.25">
      <c r="A6" s="277" t="s">
        <v>66</v>
      </c>
      <c r="B6" s="278" t="s">
        <v>28</v>
      </c>
      <c r="C6" s="275">
        <v>127.5</v>
      </c>
      <c r="D6" s="276" t="s">
        <v>17</v>
      </c>
    </row>
    <row r="7" spans="1:4" x14ac:dyDescent="0.25">
      <c r="A7" s="273">
        <v>2</v>
      </c>
      <c r="B7" s="274" t="s">
        <v>29</v>
      </c>
      <c r="C7" s="275"/>
      <c r="D7" s="276"/>
    </row>
    <row r="8" spans="1:4" x14ac:dyDescent="0.25">
      <c r="A8" s="277" t="s">
        <v>19</v>
      </c>
      <c r="B8" s="276" t="s">
        <v>32</v>
      </c>
      <c r="C8" s="275">
        <v>28</v>
      </c>
      <c r="D8" s="276" t="s">
        <v>33</v>
      </c>
    </row>
    <row r="9" spans="1:4" x14ac:dyDescent="0.25">
      <c r="A9" s="277" t="s">
        <v>23</v>
      </c>
      <c r="B9" s="279" t="s">
        <v>71</v>
      </c>
      <c r="C9" s="275">
        <v>180</v>
      </c>
      <c r="D9" s="276" t="s">
        <v>33</v>
      </c>
    </row>
    <row r="10" spans="1:4" x14ac:dyDescent="0.25">
      <c r="A10" s="280">
        <v>3</v>
      </c>
      <c r="B10" s="274" t="s">
        <v>211</v>
      </c>
      <c r="C10" s="275"/>
      <c r="D10" s="276"/>
    </row>
    <row r="11" spans="1:4" ht="92.25" customHeight="1" x14ac:dyDescent="0.25">
      <c r="A11" s="277" t="s">
        <v>30</v>
      </c>
      <c r="B11" s="281" t="s">
        <v>43</v>
      </c>
      <c r="C11" s="275">
        <v>4</v>
      </c>
      <c r="D11" s="282" t="s">
        <v>44</v>
      </c>
    </row>
    <row r="12" spans="1:4" ht="90.75" customHeight="1" x14ac:dyDescent="0.25">
      <c r="A12" s="277" t="s">
        <v>34</v>
      </c>
      <c r="B12" s="10" t="s">
        <v>50</v>
      </c>
      <c r="C12" s="275">
        <v>2</v>
      </c>
      <c r="D12" s="282" t="s">
        <v>44</v>
      </c>
    </row>
  </sheetData>
  <mergeCells count="4">
    <mergeCell ref="A1:A2"/>
    <mergeCell ref="B1:B2"/>
    <mergeCell ref="C1:C2"/>
    <mergeCell ref="D1:D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46"/>
  <sheetViews>
    <sheetView view="pageBreakPreview" workbookViewId="0">
      <pane ySplit="15" topLeftCell="A37" activePane="bottomLeft" state="frozen"/>
      <selection pane="bottomLeft" activeCell="E27" sqref="E27"/>
    </sheetView>
  </sheetViews>
  <sheetFormatPr defaultRowHeight="15" x14ac:dyDescent="0.25"/>
  <cols>
    <col min="1" max="1" width="8.7109375" customWidth="1"/>
    <col min="2" max="2" width="11.42578125"/>
    <col min="3" max="3" width="64" customWidth="1"/>
    <col min="4" max="4" width="7.85546875" customWidth="1"/>
    <col min="5" max="5" width="10" customWidth="1"/>
    <col min="6" max="6" width="12.42578125" customWidth="1"/>
    <col min="7" max="7" width="17.140625" customWidth="1"/>
    <col min="8" max="1025" width="8.7109375" customWidth="1"/>
  </cols>
  <sheetData>
    <row r="9" spans="1:7" x14ac:dyDescent="0.25">
      <c r="A9" t="s">
        <v>58</v>
      </c>
    </row>
    <row r="10" spans="1:7" ht="3.75" customHeight="1" x14ac:dyDescent="0.25"/>
    <row r="11" spans="1:7" ht="21" x14ac:dyDescent="0.35">
      <c r="A11" t="s">
        <v>1</v>
      </c>
      <c r="D11" s="14" t="s">
        <v>59</v>
      </c>
    </row>
    <row r="12" spans="1:7" ht="3" customHeight="1" x14ac:dyDescent="0.25"/>
    <row r="13" spans="1:7" x14ac:dyDescent="0.25">
      <c r="A13" t="s">
        <v>2</v>
      </c>
      <c r="F13" s="1" t="s">
        <v>3</v>
      </c>
      <c r="G13" s="1"/>
    </row>
    <row r="14" spans="1:7" ht="15.75" customHeight="1" x14ac:dyDescent="0.25">
      <c r="A14" s="333" t="s">
        <v>4</v>
      </c>
      <c r="B14" s="334" t="s">
        <v>5</v>
      </c>
      <c r="C14" s="332" t="s">
        <v>7</v>
      </c>
      <c r="D14" s="332" t="s">
        <v>9</v>
      </c>
      <c r="E14" s="332" t="s">
        <v>8</v>
      </c>
      <c r="F14" s="332" t="s">
        <v>10</v>
      </c>
      <c r="G14" s="332"/>
    </row>
    <row r="15" spans="1:7" ht="15.75" x14ac:dyDescent="0.25">
      <c r="A15" s="333"/>
      <c r="B15" s="334"/>
      <c r="C15" s="332"/>
      <c r="D15" s="332"/>
      <c r="E15" s="332"/>
      <c r="F15" s="15" t="s">
        <v>11</v>
      </c>
      <c r="G15" s="15" t="s">
        <v>12</v>
      </c>
    </row>
    <row r="16" spans="1:7" ht="26.25" x14ac:dyDescent="0.25">
      <c r="A16" s="16">
        <v>1</v>
      </c>
      <c r="B16" s="17" t="s">
        <v>60</v>
      </c>
      <c r="C16" s="18" t="s">
        <v>18</v>
      </c>
      <c r="D16" s="19"/>
      <c r="E16" s="20"/>
      <c r="F16" s="21"/>
      <c r="G16" s="22">
        <f>SUM(G17:G19)</f>
        <v>15893.77</v>
      </c>
    </row>
    <row r="17" spans="1:8" ht="45" customHeight="1" x14ac:dyDescent="0.25">
      <c r="A17" s="23" t="s">
        <v>14</v>
      </c>
      <c r="B17" s="24" t="s">
        <v>61</v>
      </c>
      <c r="C17" s="25" t="s">
        <v>62</v>
      </c>
      <c r="D17" s="26" t="s">
        <v>22</v>
      </c>
      <c r="E17" s="27">
        <f>810+126</f>
        <v>936</v>
      </c>
      <c r="F17" s="28">
        <f>5.87*(1+$D$38)</f>
        <v>7.6310000000000002</v>
      </c>
      <c r="G17" s="28">
        <f>ROUND(F17*E17,2)</f>
        <v>7142.62</v>
      </c>
    </row>
    <row r="18" spans="1:8" ht="44.25" customHeight="1" x14ac:dyDescent="0.25">
      <c r="A18" s="23" t="s">
        <v>63</v>
      </c>
      <c r="B18" s="24" t="s">
        <v>64</v>
      </c>
      <c r="C18" s="25" t="s">
        <v>65</v>
      </c>
      <c r="D18" s="26" t="s">
        <v>22</v>
      </c>
      <c r="E18" s="27">
        <v>890.49</v>
      </c>
      <c r="F18" s="28">
        <f>7.15*(1+$D$38)</f>
        <v>9.2949999999999999</v>
      </c>
      <c r="G18" s="28">
        <f>ROUND(F18*E18,2)</f>
        <v>8277.1</v>
      </c>
    </row>
    <row r="19" spans="1:8" ht="30" customHeight="1" x14ac:dyDescent="0.25">
      <c r="A19" s="23" t="s">
        <v>66</v>
      </c>
      <c r="B19" s="24" t="s">
        <v>67</v>
      </c>
      <c r="C19" s="25" t="s">
        <v>28</v>
      </c>
      <c r="D19" s="26" t="s">
        <v>17</v>
      </c>
      <c r="E19" s="27">
        <v>127.5</v>
      </c>
      <c r="F19" s="28">
        <f>2.86*(1+$D$38)</f>
        <v>3.718</v>
      </c>
      <c r="G19" s="28">
        <f>ROUND(F19*E19,2)</f>
        <v>474.05</v>
      </c>
    </row>
    <row r="20" spans="1:8" ht="30" x14ac:dyDescent="0.25">
      <c r="A20" s="16">
        <v>2</v>
      </c>
      <c r="B20" s="29" t="s">
        <v>68</v>
      </c>
      <c r="C20" s="18" t="s">
        <v>29</v>
      </c>
      <c r="D20" s="30"/>
      <c r="E20" s="31"/>
      <c r="F20" s="32"/>
      <c r="G20" s="33">
        <f>SUM(G21:G22)</f>
        <v>37426.899999999994</v>
      </c>
      <c r="H20" s="34"/>
    </row>
    <row r="21" spans="1:8" ht="18" customHeight="1" x14ac:dyDescent="0.25">
      <c r="A21" s="23" t="s">
        <v>19</v>
      </c>
      <c r="B21" s="24" t="s">
        <v>69</v>
      </c>
      <c r="C21" s="35" t="s">
        <v>32</v>
      </c>
      <c r="D21" s="26" t="s">
        <v>33</v>
      </c>
      <c r="E21" s="27">
        <v>28</v>
      </c>
      <c r="F21" s="28">
        <f>94.14*(1+$D$38)</f>
        <v>122.38200000000001</v>
      </c>
      <c r="G21" s="28">
        <f>ROUND(F21*E21,2)</f>
        <v>3426.7</v>
      </c>
    </row>
    <row r="22" spans="1:8" ht="15.75" customHeight="1" x14ac:dyDescent="0.25">
      <c r="A22" s="23" t="s">
        <v>23</v>
      </c>
      <c r="B22" s="24" t="s">
        <v>70</v>
      </c>
      <c r="C22" s="36" t="s">
        <v>71</v>
      </c>
      <c r="D22" s="26" t="s">
        <v>33</v>
      </c>
      <c r="E22" s="27">
        <v>180</v>
      </c>
      <c r="F22" s="28">
        <f>145.3*(1+$D$38)</f>
        <v>188.89000000000001</v>
      </c>
      <c r="G22" s="28">
        <f>ROUND(F22*E22,2)</f>
        <v>34000.199999999997</v>
      </c>
    </row>
    <row r="23" spans="1:8" ht="26.25" x14ac:dyDescent="0.25">
      <c r="A23" s="37">
        <v>3</v>
      </c>
      <c r="B23" s="17" t="s">
        <v>60</v>
      </c>
      <c r="C23" s="18" t="s">
        <v>72</v>
      </c>
      <c r="D23" s="19"/>
      <c r="E23" s="31"/>
      <c r="F23" s="32"/>
      <c r="G23" s="33">
        <f>SUM(G24:G25)</f>
        <v>15246.71</v>
      </c>
    </row>
    <row r="24" spans="1:8" ht="43.5" customHeight="1" x14ac:dyDescent="0.25">
      <c r="A24" s="23" t="s">
        <v>30</v>
      </c>
      <c r="B24" s="24" t="s">
        <v>73</v>
      </c>
      <c r="C24" s="38" t="s">
        <v>43</v>
      </c>
      <c r="D24" s="39" t="s">
        <v>44</v>
      </c>
      <c r="E24" s="27">
        <v>4</v>
      </c>
      <c r="F24" s="28">
        <f>1454.89*(1+$D$38)</f>
        <v>1891.3570000000002</v>
      </c>
      <c r="G24" s="28">
        <f>ROUND(F24*E24,2)</f>
        <v>7565.43</v>
      </c>
    </row>
    <row r="25" spans="1:8" ht="43.5" customHeight="1" x14ac:dyDescent="0.25">
      <c r="A25" s="23" t="s">
        <v>34</v>
      </c>
      <c r="B25" s="24" t="s">
        <v>74</v>
      </c>
      <c r="C25" s="38" t="s">
        <v>50</v>
      </c>
      <c r="D25" s="39" t="s">
        <v>44</v>
      </c>
      <c r="E25" s="27">
        <v>2</v>
      </c>
      <c r="F25" s="28">
        <f>2954.34*(1+$D$38)</f>
        <v>3840.6420000000003</v>
      </c>
      <c r="G25" s="28">
        <f>ROUND(F25*E25,2)</f>
        <v>7681.28</v>
      </c>
    </row>
    <row r="26" spans="1:8" ht="28.5" customHeight="1" x14ac:dyDescent="0.25">
      <c r="A26" s="37">
        <v>4</v>
      </c>
      <c r="B26" s="17" t="s">
        <v>60</v>
      </c>
      <c r="C26" s="18" t="s">
        <v>75</v>
      </c>
      <c r="D26" s="40" t="s">
        <v>17</v>
      </c>
      <c r="E26" s="41">
        <v>4623.1099999999997</v>
      </c>
      <c r="F26" s="42" t="s">
        <v>76</v>
      </c>
      <c r="G26" s="33">
        <f>SUM(G27:G36)</f>
        <v>116115.39</v>
      </c>
    </row>
    <row r="27" spans="1:8" ht="36" customHeight="1" x14ac:dyDescent="0.25">
      <c r="A27" s="43" t="s">
        <v>41</v>
      </c>
      <c r="B27" s="44" t="s">
        <v>77</v>
      </c>
      <c r="C27" s="45" t="s">
        <v>78</v>
      </c>
      <c r="D27" s="46" t="s">
        <v>22</v>
      </c>
      <c r="E27" s="47">
        <f>ROUND($E$26*0.25,2)</f>
        <v>1155.78</v>
      </c>
      <c r="F27" s="28">
        <f>1.98*(1+$D$38)</f>
        <v>2.5739999999999998</v>
      </c>
      <c r="G27" s="28">
        <f t="shared" ref="G27:G36" si="0">ROUND(F27*E27,2)</f>
        <v>2974.98</v>
      </c>
    </row>
    <row r="28" spans="1:8" ht="51" customHeight="1" x14ac:dyDescent="0.25">
      <c r="A28" s="43" t="s">
        <v>45</v>
      </c>
      <c r="B28" s="44" t="s">
        <v>79</v>
      </c>
      <c r="C28" s="48" t="s">
        <v>80</v>
      </c>
      <c r="D28" s="46" t="s">
        <v>22</v>
      </c>
      <c r="E28" s="47">
        <f>ROUND($E$26*0.25,2)</f>
        <v>1155.78</v>
      </c>
      <c r="F28" s="28">
        <f>1*(1+$D$38)</f>
        <v>1.3</v>
      </c>
      <c r="G28" s="28">
        <f t="shared" si="0"/>
        <v>1502.51</v>
      </c>
    </row>
    <row r="29" spans="1:8" ht="32.25" customHeight="1" x14ac:dyDescent="0.25">
      <c r="A29" s="43" t="s">
        <v>48</v>
      </c>
      <c r="B29" s="44" t="s">
        <v>81</v>
      </c>
      <c r="C29" s="48" t="s">
        <v>82</v>
      </c>
      <c r="D29" s="46" t="s">
        <v>22</v>
      </c>
      <c r="E29" s="47">
        <f>ROUND($E$26*0.2,2)</f>
        <v>924.62</v>
      </c>
      <c r="F29" s="28">
        <f>1.91*(1+$D$38)</f>
        <v>2.4830000000000001</v>
      </c>
      <c r="G29" s="28">
        <f t="shared" si="0"/>
        <v>2295.83</v>
      </c>
    </row>
    <row r="30" spans="1:8" ht="54" customHeight="1" x14ac:dyDescent="0.25">
      <c r="A30" s="43" t="s">
        <v>51</v>
      </c>
      <c r="B30" s="44" t="s">
        <v>83</v>
      </c>
      <c r="C30" s="48" t="s">
        <v>84</v>
      </c>
      <c r="D30" s="46" t="s">
        <v>22</v>
      </c>
      <c r="E30" s="47">
        <f>ROUND($E$26*0.2,2)</f>
        <v>924.62</v>
      </c>
      <c r="F30" s="28">
        <f>2.89*(1+$D$38)</f>
        <v>3.7570000000000001</v>
      </c>
      <c r="G30" s="28">
        <f t="shared" si="0"/>
        <v>3473.8</v>
      </c>
    </row>
    <row r="31" spans="1:8" ht="42" customHeight="1" x14ac:dyDescent="0.25">
      <c r="A31" s="43" t="s">
        <v>54</v>
      </c>
      <c r="B31" s="44" t="s">
        <v>81</v>
      </c>
      <c r="C31" s="48" t="s">
        <v>85</v>
      </c>
      <c r="D31" s="46" t="s">
        <v>22</v>
      </c>
      <c r="E31" s="47">
        <f>ROUND($E$26*0.2,2)</f>
        <v>924.62</v>
      </c>
      <c r="F31" s="28">
        <f>1.91*(1+$D$38)</f>
        <v>2.4830000000000001</v>
      </c>
      <c r="G31" s="28">
        <f t="shared" si="0"/>
        <v>2295.83</v>
      </c>
    </row>
    <row r="32" spans="1:8" ht="25.5" customHeight="1" x14ac:dyDescent="0.25">
      <c r="A32" s="43" t="s">
        <v>86</v>
      </c>
      <c r="B32" s="44" t="s">
        <v>87</v>
      </c>
      <c r="C32" s="49" t="s">
        <v>88</v>
      </c>
      <c r="D32" s="46" t="s">
        <v>17</v>
      </c>
      <c r="E32" s="47">
        <v>4623.1099999999997</v>
      </c>
      <c r="F32" s="28">
        <f>1.5*(1+$D$38)</f>
        <v>1.9500000000000002</v>
      </c>
      <c r="G32" s="28">
        <f t="shared" si="0"/>
        <v>9015.06</v>
      </c>
    </row>
    <row r="33" spans="1:7" ht="25.5" x14ac:dyDescent="0.25">
      <c r="A33" s="43" t="s">
        <v>89</v>
      </c>
      <c r="B33" s="44" t="s">
        <v>90</v>
      </c>
      <c r="C33" s="49" t="s">
        <v>91</v>
      </c>
      <c r="D33" s="46" t="s">
        <v>22</v>
      </c>
      <c r="E33" s="47">
        <f>ROUND($E$26*0.1,2)</f>
        <v>462.31</v>
      </c>
      <c r="F33" s="28">
        <f>11.12*(1+$D$38)</f>
        <v>14.456</v>
      </c>
      <c r="G33" s="28">
        <f t="shared" si="0"/>
        <v>6683.15</v>
      </c>
    </row>
    <row r="34" spans="1:7" ht="18.75" customHeight="1" x14ac:dyDescent="0.25">
      <c r="A34" s="43" t="s">
        <v>92</v>
      </c>
      <c r="B34" s="44" t="s">
        <v>93</v>
      </c>
      <c r="C34" s="49" t="s">
        <v>94</v>
      </c>
      <c r="D34" s="46" t="s">
        <v>17</v>
      </c>
      <c r="E34" s="47">
        <v>4625.1099999999997</v>
      </c>
      <c r="F34" s="28">
        <f>2.74*(1+$D$38)</f>
        <v>3.5620000000000003</v>
      </c>
      <c r="G34" s="28">
        <f t="shared" si="0"/>
        <v>16474.64</v>
      </c>
    </row>
    <row r="35" spans="1:7" x14ac:dyDescent="0.25">
      <c r="A35" s="43" t="s">
        <v>95</v>
      </c>
      <c r="B35" s="44" t="s">
        <v>96</v>
      </c>
      <c r="C35" s="49" t="s">
        <v>97</v>
      </c>
      <c r="D35" s="46" t="s">
        <v>17</v>
      </c>
      <c r="E35" s="47">
        <v>4626.1099999999997</v>
      </c>
      <c r="F35" s="28">
        <f>1.03*(1+$D$38)</f>
        <v>1.3390000000000002</v>
      </c>
      <c r="G35" s="28">
        <f t="shared" si="0"/>
        <v>6194.36</v>
      </c>
    </row>
    <row r="36" spans="1:7" ht="25.5" x14ac:dyDescent="0.25">
      <c r="A36" s="43" t="s">
        <v>98</v>
      </c>
      <c r="B36" s="50" t="s">
        <v>99</v>
      </c>
      <c r="C36" s="51" t="s">
        <v>100</v>
      </c>
      <c r="D36" s="52" t="s">
        <v>17</v>
      </c>
      <c r="E36" s="47">
        <v>4627.1099999999997</v>
      </c>
      <c r="F36" s="28">
        <f>10.84*(1+$D$38)</f>
        <v>14.092000000000001</v>
      </c>
      <c r="G36" s="28">
        <f t="shared" si="0"/>
        <v>65205.23</v>
      </c>
    </row>
    <row r="38" spans="1:7" ht="15.75" x14ac:dyDescent="0.25">
      <c r="A38" s="53"/>
      <c r="B38" s="54"/>
      <c r="C38" s="55" t="s">
        <v>101</v>
      </c>
      <c r="D38" s="56">
        <v>0.3</v>
      </c>
      <c r="E38" s="57"/>
      <c r="F38" s="57"/>
      <c r="G38" s="58">
        <f>SUM(G16+G20+G23+G26)</f>
        <v>184682.77000000002</v>
      </c>
    </row>
    <row r="40" spans="1:7" x14ac:dyDescent="0.25">
      <c r="F40" s="59" t="s">
        <v>102</v>
      </c>
    </row>
    <row r="41" spans="1:7" x14ac:dyDescent="0.25">
      <c r="D41" s="60"/>
      <c r="E41" s="60"/>
      <c r="G41" s="61"/>
    </row>
    <row r="42" spans="1:7" x14ac:dyDescent="0.25">
      <c r="D42" s="60"/>
      <c r="E42" s="60"/>
      <c r="G42" s="60"/>
    </row>
    <row r="43" spans="1:7" x14ac:dyDescent="0.25">
      <c r="D43" s="60"/>
      <c r="E43" s="60"/>
      <c r="F43" s="60"/>
      <c r="G43" s="60"/>
    </row>
    <row r="44" spans="1:7" x14ac:dyDescent="0.25">
      <c r="C44" s="61" t="s">
        <v>103</v>
      </c>
      <c r="F44" s="61" t="s">
        <v>104</v>
      </c>
    </row>
    <row r="45" spans="1:7" x14ac:dyDescent="0.25">
      <c r="C45" s="61" t="s">
        <v>105</v>
      </c>
      <c r="F45" s="61" t="s">
        <v>106</v>
      </c>
    </row>
    <row r="46" spans="1:7" x14ac:dyDescent="0.25">
      <c r="C46" s="60" t="s">
        <v>107</v>
      </c>
    </row>
  </sheetData>
  <mergeCells count="6">
    <mergeCell ref="F14:G14"/>
    <mergeCell ref="A14:A15"/>
    <mergeCell ref="B14:B15"/>
    <mergeCell ref="C14:C15"/>
    <mergeCell ref="D14:D15"/>
    <mergeCell ref="E14:E15"/>
  </mergeCells>
  <pageMargins left="0.51180555555555496" right="0.118055555555556" top="0.39374999999999999" bottom="0.59027777777777801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68"/>
  <sheetViews>
    <sheetView tabSelected="1" view="pageBreakPreview" zoomScaleSheetLayoutView="100" workbookViewId="0">
      <pane ySplit="17" topLeftCell="A51" activePane="bottomLeft" state="frozen"/>
      <selection pane="bottomLeft" activeCell="F24" sqref="F24:G24"/>
    </sheetView>
  </sheetViews>
  <sheetFormatPr defaultRowHeight="15" x14ac:dyDescent="0.25"/>
  <cols>
    <col min="1" max="1" width="8.7109375" customWidth="1"/>
    <col min="2" max="2" width="10.28515625" customWidth="1"/>
    <col min="3" max="3" width="61.28515625" customWidth="1"/>
    <col min="4" max="4" width="6.85546875" customWidth="1"/>
    <col min="5" max="5" width="10.28515625" customWidth="1"/>
    <col min="6" max="6" width="13.28515625" customWidth="1"/>
    <col min="7" max="7" width="16.42578125" customWidth="1"/>
    <col min="8" max="8" width="19.140625" customWidth="1"/>
    <col min="9" max="9" width="29.140625" customWidth="1"/>
    <col min="10" max="10" width="15.28515625" customWidth="1"/>
    <col min="11" max="1026" width="8.7109375" customWidth="1"/>
  </cols>
  <sheetData>
    <row r="8" spans="1:8" ht="7.5" customHeight="1" x14ac:dyDescent="0.25"/>
    <row r="9" spans="1:8" x14ac:dyDescent="0.25">
      <c r="A9" t="s">
        <v>221</v>
      </c>
    </row>
    <row r="10" spans="1:8" ht="3.75" customHeight="1" x14ac:dyDescent="0.25"/>
    <row r="11" spans="1:8" ht="14.25" customHeight="1" x14ac:dyDescent="0.25">
      <c r="A11" s="341" t="s">
        <v>222</v>
      </c>
      <c r="B11" s="341"/>
      <c r="C11" s="341"/>
      <c r="D11" s="341"/>
      <c r="E11" s="341"/>
    </row>
    <row r="12" spans="1:8" ht="3" customHeight="1" x14ac:dyDescent="0.25"/>
    <row r="13" spans="1:8" x14ac:dyDescent="0.25">
      <c r="A13" t="s">
        <v>2</v>
      </c>
      <c r="G13" s="63" t="s">
        <v>109</v>
      </c>
      <c r="H13" s="288">
        <v>0.29770000000000002</v>
      </c>
    </row>
    <row r="14" spans="1:8" ht="5.25" customHeight="1" x14ac:dyDescent="0.25">
      <c r="G14" s="64"/>
      <c r="H14" s="64"/>
    </row>
    <row r="15" spans="1:8" x14ac:dyDescent="0.25">
      <c r="A15" s="65" t="s">
        <v>225</v>
      </c>
      <c r="C15" s="342" t="s">
        <v>226</v>
      </c>
      <c r="D15" s="342"/>
      <c r="E15" s="342"/>
      <c r="F15" s="342"/>
      <c r="G15" s="343"/>
      <c r="H15" s="343"/>
    </row>
    <row r="16" spans="1:8" ht="15.75" x14ac:dyDescent="0.25">
      <c r="A16" s="332" t="s">
        <v>4</v>
      </c>
      <c r="B16" s="334" t="s">
        <v>187</v>
      </c>
      <c r="C16" s="332" t="s">
        <v>7</v>
      </c>
      <c r="D16" s="332" t="s">
        <v>9</v>
      </c>
      <c r="E16" s="332" t="s">
        <v>8</v>
      </c>
      <c r="F16" s="332" t="s">
        <v>10</v>
      </c>
      <c r="G16" s="332"/>
      <c r="H16" s="332"/>
    </row>
    <row r="17" spans="1:10" ht="15.75" x14ac:dyDescent="0.25">
      <c r="A17" s="332"/>
      <c r="B17" s="334"/>
      <c r="C17" s="332"/>
      <c r="D17" s="332"/>
      <c r="E17" s="332"/>
      <c r="F17" s="328" t="s">
        <v>213</v>
      </c>
      <c r="G17" s="328" t="s">
        <v>214</v>
      </c>
      <c r="H17" s="328" t="s">
        <v>12</v>
      </c>
      <c r="I17" s="291"/>
    </row>
    <row r="18" spans="1:10" ht="19.5" customHeight="1" x14ac:dyDescent="0.25">
      <c r="A18" s="292"/>
      <c r="B18" s="293"/>
      <c r="C18" s="329" t="s">
        <v>294</v>
      </c>
      <c r="D18" s="329"/>
      <c r="E18" s="329"/>
      <c r="F18" s="294"/>
      <c r="G18" s="295"/>
      <c r="H18" s="154"/>
    </row>
    <row r="19" spans="1:10" ht="18" customHeight="1" x14ac:dyDescent="0.25">
      <c r="A19" s="312" t="s">
        <v>127</v>
      </c>
      <c r="B19" s="313"/>
      <c r="C19" s="314" t="s">
        <v>236</v>
      </c>
      <c r="D19" s="314"/>
      <c r="E19" s="314"/>
      <c r="F19" s="335">
        <f>SUM(H20:H22)</f>
        <v>9429.33</v>
      </c>
      <c r="G19" s="336"/>
    </row>
    <row r="20" spans="1:10" ht="31.5" customHeight="1" x14ac:dyDescent="0.25">
      <c r="A20" s="305" t="s">
        <v>230</v>
      </c>
      <c r="B20" s="306" t="s">
        <v>227</v>
      </c>
      <c r="C20" s="307" t="s">
        <v>244</v>
      </c>
      <c r="D20" s="308" t="s">
        <v>17</v>
      </c>
      <c r="E20" s="309">
        <f>91.98*2</f>
        <v>183.96</v>
      </c>
      <c r="F20" s="310">
        <v>22.43</v>
      </c>
      <c r="G20" s="310">
        <f>ROUNDDOWN(F20*(1+($H$13)),2)</f>
        <v>29.1</v>
      </c>
      <c r="H20" s="310">
        <f>ROUNDDOWN(E20*G20,2)</f>
        <v>5353.23</v>
      </c>
    </row>
    <row r="21" spans="1:10" ht="19.5" customHeight="1" x14ac:dyDescent="0.25">
      <c r="A21" s="305" t="s">
        <v>231</v>
      </c>
      <c r="B21" s="309" t="s">
        <v>228</v>
      </c>
      <c r="C21" s="307" t="s">
        <v>229</v>
      </c>
      <c r="D21" s="308" t="s">
        <v>17</v>
      </c>
      <c r="E21" s="309">
        <v>60</v>
      </c>
      <c r="F21" s="310">
        <v>20.67</v>
      </c>
      <c r="G21" s="310">
        <f t="shared" ref="G21:G22" si="0">ROUNDDOWN(F21*(1+($H$13)),2)</f>
        <v>26.82</v>
      </c>
      <c r="H21" s="310">
        <f t="shared" ref="H21:H22" si="1">ROUNDDOWN(E21*G21,2)</f>
        <v>1609.2</v>
      </c>
    </row>
    <row r="22" spans="1:10" ht="31.5" x14ac:dyDescent="0.25">
      <c r="A22" s="305" t="s">
        <v>232</v>
      </c>
      <c r="B22" s="309" t="s">
        <v>228</v>
      </c>
      <c r="C22" s="311" t="s">
        <v>245</v>
      </c>
      <c r="D22" s="308" t="s">
        <v>17</v>
      </c>
      <c r="E22" s="309">
        <f>91.98*1</f>
        <v>91.98</v>
      </c>
      <c r="F22" s="310">
        <v>20.67</v>
      </c>
      <c r="G22" s="310">
        <f t="shared" si="0"/>
        <v>26.82</v>
      </c>
      <c r="H22" s="310">
        <f t="shared" si="1"/>
        <v>2466.9</v>
      </c>
      <c r="J22" s="283"/>
    </row>
    <row r="23" spans="1:10" ht="5.0999999999999996" customHeight="1" x14ac:dyDescent="0.25">
      <c r="A23" s="316"/>
      <c r="B23" s="317"/>
      <c r="C23" s="320"/>
      <c r="D23" s="318"/>
      <c r="E23" s="317"/>
      <c r="F23" s="319"/>
      <c r="G23" s="319"/>
      <c r="H23" s="319"/>
      <c r="J23" s="283"/>
    </row>
    <row r="24" spans="1:10" ht="15" customHeight="1" x14ac:dyDescent="0.25">
      <c r="A24" s="312" t="s">
        <v>130</v>
      </c>
      <c r="B24" s="313"/>
      <c r="C24" s="314" t="s">
        <v>239</v>
      </c>
      <c r="D24" s="314"/>
      <c r="E24" s="314"/>
      <c r="F24" s="337">
        <f>SUM(H25:H27)</f>
        <v>2028.84</v>
      </c>
      <c r="G24" s="338"/>
      <c r="J24" s="283"/>
    </row>
    <row r="25" spans="1:10" ht="29.25" customHeight="1" x14ac:dyDescent="0.25">
      <c r="A25" s="305" t="s">
        <v>240</v>
      </c>
      <c r="B25" s="309" t="s">
        <v>218</v>
      </c>
      <c r="C25" s="321" t="s">
        <v>220</v>
      </c>
      <c r="D25" s="308" t="s">
        <v>17</v>
      </c>
      <c r="E25" s="309">
        <v>22.7</v>
      </c>
      <c r="F25" s="310">
        <v>13.75</v>
      </c>
      <c r="G25" s="310">
        <f>ROUNDDOWN(F25*(1+($H$13)),2)</f>
        <v>17.84</v>
      </c>
      <c r="H25" s="310">
        <f>ROUNDDOWN(E25*G25,2)</f>
        <v>404.96</v>
      </c>
      <c r="J25" s="283"/>
    </row>
    <row r="26" spans="1:10" ht="29.25" customHeight="1" x14ac:dyDescent="0.25">
      <c r="A26" s="305" t="s">
        <v>241</v>
      </c>
      <c r="B26" s="306" t="s">
        <v>227</v>
      </c>
      <c r="C26" s="307" t="s">
        <v>244</v>
      </c>
      <c r="D26" s="308" t="s">
        <v>17</v>
      </c>
      <c r="E26" s="309">
        <f>19.1*2</f>
        <v>38.200000000000003</v>
      </c>
      <c r="F26" s="310">
        <v>22.43</v>
      </c>
      <c r="G26" s="310">
        <f>ROUNDDOWN(F26*(1+($H$13)),2)</f>
        <v>29.1</v>
      </c>
      <c r="H26" s="310">
        <f>ROUNDDOWN(E26*G26,2)</f>
        <v>1111.6199999999999</v>
      </c>
      <c r="J26" s="283"/>
    </row>
    <row r="27" spans="1:10" ht="28.5" customHeight="1" x14ac:dyDescent="0.25">
      <c r="A27" s="305" t="s">
        <v>242</v>
      </c>
      <c r="B27" s="309" t="s">
        <v>228</v>
      </c>
      <c r="C27" s="307" t="s">
        <v>245</v>
      </c>
      <c r="D27" s="308" t="s">
        <v>17</v>
      </c>
      <c r="E27" s="309">
        <f>19.1*1</f>
        <v>19.100000000000001</v>
      </c>
      <c r="F27" s="310">
        <v>20.67</v>
      </c>
      <c r="G27" s="310">
        <f t="shared" ref="G27" si="2">ROUNDDOWN(F27*(1+($H$13)),2)</f>
        <v>26.82</v>
      </c>
      <c r="H27" s="310">
        <f t="shared" ref="H27" si="3">ROUNDDOWN(E27*G27,2)</f>
        <v>512.26</v>
      </c>
      <c r="J27" s="283"/>
    </row>
    <row r="28" spans="1:10" ht="5.0999999999999996" customHeight="1" x14ac:dyDescent="0.25">
      <c r="A28" s="305"/>
      <c r="B28" s="309"/>
      <c r="C28" s="311"/>
      <c r="D28" s="308"/>
      <c r="E28" s="309"/>
      <c r="F28" s="310"/>
      <c r="G28" s="310"/>
      <c r="H28" s="310"/>
      <c r="J28" s="283"/>
    </row>
    <row r="29" spans="1:10" ht="15" customHeight="1" x14ac:dyDescent="0.25">
      <c r="A29" s="312" t="s">
        <v>132</v>
      </c>
      <c r="B29" s="313"/>
      <c r="C29" s="314" t="s">
        <v>246</v>
      </c>
      <c r="D29" s="314"/>
      <c r="E29" s="314"/>
      <c r="F29" s="315"/>
      <c r="G29" s="324">
        <f>SUM(H30:H34)</f>
        <v>6342.19</v>
      </c>
      <c r="J29" s="283"/>
    </row>
    <row r="30" spans="1:10" ht="31.5" customHeight="1" x14ac:dyDescent="0.25">
      <c r="A30" s="305" t="s">
        <v>247</v>
      </c>
      <c r="B30" s="309" t="s">
        <v>218</v>
      </c>
      <c r="C30" s="321" t="s">
        <v>220</v>
      </c>
      <c r="D30" s="308" t="s">
        <v>17</v>
      </c>
      <c r="E30" s="309">
        <v>20.14</v>
      </c>
      <c r="F30" s="310">
        <v>13.75</v>
      </c>
      <c r="G30" s="310">
        <f>ROUNDDOWN(F30*(1+($H$13)),2)</f>
        <v>17.84</v>
      </c>
      <c r="H30" s="310">
        <f>ROUNDDOWN(E30*G30,2)</f>
        <v>359.29</v>
      </c>
      <c r="J30" s="283"/>
    </row>
    <row r="31" spans="1:10" ht="31.5" customHeight="1" x14ac:dyDescent="0.25">
      <c r="A31" s="305" t="s">
        <v>248</v>
      </c>
      <c r="B31" s="309" t="s">
        <v>228</v>
      </c>
      <c r="C31" s="307" t="s">
        <v>229</v>
      </c>
      <c r="D31" s="308" t="s">
        <v>17</v>
      </c>
      <c r="E31" s="309">
        <v>20.14</v>
      </c>
      <c r="F31" s="310">
        <v>20.67</v>
      </c>
      <c r="G31" s="310">
        <f t="shared" ref="G31:G34" si="4">ROUNDDOWN(F31*(1+($H$13)),2)</f>
        <v>26.82</v>
      </c>
      <c r="H31" s="310">
        <f t="shared" ref="H31:H34" si="5">ROUNDDOWN(E31*G31,2)</f>
        <v>540.15</v>
      </c>
      <c r="J31" s="283"/>
    </row>
    <row r="32" spans="1:10" ht="31.5" customHeight="1" x14ac:dyDescent="0.25">
      <c r="A32" s="305" t="s">
        <v>255</v>
      </c>
      <c r="B32" s="309" t="s">
        <v>250</v>
      </c>
      <c r="C32" s="321" t="s">
        <v>249</v>
      </c>
      <c r="D32" s="308" t="s">
        <v>22</v>
      </c>
      <c r="E32" s="309">
        <f>(5.06*2+3.98*2)*3*0.05*1.5</f>
        <v>4.0679999999999996</v>
      </c>
      <c r="F32" s="310">
        <v>8.39</v>
      </c>
      <c r="G32" s="310">
        <f t="shared" si="4"/>
        <v>10.88</v>
      </c>
      <c r="H32" s="310">
        <f t="shared" si="5"/>
        <v>44.25</v>
      </c>
      <c r="J32" s="283"/>
    </row>
    <row r="33" spans="1:10" ht="31.5" customHeight="1" x14ac:dyDescent="0.25">
      <c r="A33" s="305" t="s">
        <v>256</v>
      </c>
      <c r="B33" s="309" t="s">
        <v>251</v>
      </c>
      <c r="C33" s="321" t="s">
        <v>252</v>
      </c>
      <c r="D33" s="308" t="s">
        <v>22</v>
      </c>
      <c r="E33" s="309">
        <f>(5.06*2+3.98*2-1.2*2.1)*3*0.02</f>
        <v>0.93359999999999987</v>
      </c>
      <c r="F33" s="310">
        <v>506.03</v>
      </c>
      <c r="G33" s="310">
        <f t="shared" si="4"/>
        <v>656.67</v>
      </c>
      <c r="H33" s="310">
        <f t="shared" si="5"/>
        <v>613.05999999999995</v>
      </c>
      <c r="J33" s="283"/>
    </row>
    <row r="34" spans="1:10" ht="49.5" customHeight="1" x14ac:dyDescent="0.25">
      <c r="A34" s="305" t="s">
        <v>257</v>
      </c>
      <c r="B34" s="309" t="s">
        <v>254</v>
      </c>
      <c r="C34" s="321" t="s">
        <v>253</v>
      </c>
      <c r="D34" s="308" t="s">
        <v>17</v>
      </c>
      <c r="E34" s="309">
        <f>(5.06*2+3.98*2)*3-(1.5*2.1+1.2*1)</f>
        <v>49.889999999999993</v>
      </c>
      <c r="F34" s="310">
        <v>73.92</v>
      </c>
      <c r="G34" s="310">
        <f t="shared" si="4"/>
        <v>95.92</v>
      </c>
      <c r="H34" s="310">
        <f t="shared" si="5"/>
        <v>4785.4399999999996</v>
      </c>
      <c r="J34" s="283"/>
    </row>
    <row r="35" spans="1:10" ht="5.0999999999999996" customHeight="1" x14ac:dyDescent="0.25">
      <c r="A35" s="292"/>
      <c r="B35" s="298"/>
      <c r="C35" s="299"/>
      <c r="D35" s="300"/>
      <c r="E35" s="298"/>
      <c r="F35" s="301"/>
      <c r="G35" s="301"/>
      <c r="H35" s="301"/>
      <c r="J35" s="283"/>
    </row>
    <row r="36" spans="1:10" ht="15" customHeight="1" x14ac:dyDescent="0.25">
      <c r="A36" s="296" t="s">
        <v>134</v>
      </c>
      <c r="B36" s="293"/>
      <c r="C36" s="326" t="s">
        <v>259</v>
      </c>
      <c r="D36" s="297"/>
      <c r="E36" s="297"/>
      <c r="F36" s="294"/>
      <c r="G36" s="325">
        <f>SUM(H37:H41)</f>
        <v>4591.67</v>
      </c>
      <c r="J36" s="283"/>
    </row>
    <row r="37" spans="1:10" ht="33" customHeight="1" x14ac:dyDescent="0.25">
      <c r="A37" s="292" t="s">
        <v>260</v>
      </c>
      <c r="B37" s="298" t="s">
        <v>218</v>
      </c>
      <c r="C37" s="299" t="s">
        <v>220</v>
      </c>
      <c r="D37" s="300" t="s">
        <v>215</v>
      </c>
      <c r="E37" s="298">
        <v>9.7100000000000009</v>
      </c>
      <c r="F37" s="301">
        <v>13.75</v>
      </c>
      <c r="G37" s="301">
        <f>ROUNDDOWN(F37*(1+($H$13)),2)</f>
        <v>17.84</v>
      </c>
      <c r="H37" s="301">
        <f>ROUNDDOWN(E37*G37,2)</f>
        <v>173.22</v>
      </c>
      <c r="J37" s="283"/>
    </row>
    <row r="38" spans="1:10" ht="15" customHeight="1" x14ac:dyDescent="0.25">
      <c r="A38" s="292" t="s">
        <v>261</v>
      </c>
      <c r="B38" s="309" t="s">
        <v>228</v>
      </c>
      <c r="C38" s="307" t="s">
        <v>229</v>
      </c>
      <c r="D38" s="308" t="s">
        <v>17</v>
      </c>
      <c r="E38" s="309">
        <v>9.7100000000000009</v>
      </c>
      <c r="F38" s="310">
        <v>20.67</v>
      </c>
      <c r="G38" s="310">
        <f t="shared" ref="G38:G41" si="6">ROUNDDOWN(F38*(1+($H$13)),2)</f>
        <v>26.82</v>
      </c>
      <c r="H38" s="310">
        <f t="shared" ref="H38:H41" si="7">ROUNDDOWN(E38*G38,2)</f>
        <v>260.42</v>
      </c>
      <c r="J38" s="283"/>
    </row>
    <row r="39" spans="1:10" ht="19.5" customHeight="1" x14ac:dyDescent="0.25">
      <c r="A39" s="292" t="s">
        <v>262</v>
      </c>
      <c r="B39" s="298" t="s">
        <v>250</v>
      </c>
      <c r="C39" s="299" t="s">
        <v>249</v>
      </c>
      <c r="D39" s="308" t="s">
        <v>216</v>
      </c>
      <c r="E39" s="309">
        <f>(2.44*2+3.98*2)*3*0.05*1.5</f>
        <v>2.8889999999999998</v>
      </c>
      <c r="F39" s="310">
        <v>8.39</v>
      </c>
      <c r="G39" s="310">
        <f t="shared" si="6"/>
        <v>10.88</v>
      </c>
      <c r="H39" s="310">
        <f t="shared" si="7"/>
        <v>31.43</v>
      </c>
      <c r="J39" s="283"/>
    </row>
    <row r="40" spans="1:10" ht="15" customHeight="1" x14ac:dyDescent="0.25">
      <c r="A40" s="292" t="s">
        <v>263</v>
      </c>
      <c r="B40" s="298" t="s">
        <v>251</v>
      </c>
      <c r="C40" s="299" t="s">
        <v>252</v>
      </c>
      <c r="D40" s="308" t="s">
        <v>216</v>
      </c>
      <c r="E40" s="309">
        <f>(5.06*2+3.98*2-1.2*2.1)*3*0.02</f>
        <v>0.93359999999999987</v>
      </c>
      <c r="F40" s="310">
        <v>506.03</v>
      </c>
      <c r="G40" s="310">
        <f t="shared" si="6"/>
        <v>656.67</v>
      </c>
      <c r="H40" s="310">
        <f t="shared" si="7"/>
        <v>613.05999999999995</v>
      </c>
      <c r="J40" s="283"/>
    </row>
    <row r="41" spans="1:10" ht="50.25" customHeight="1" x14ac:dyDescent="0.25">
      <c r="A41" s="292" t="s">
        <v>264</v>
      </c>
      <c r="B41" s="298" t="s">
        <v>254</v>
      </c>
      <c r="C41" s="299" t="s">
        <v>253</v>
      </c>
      <c r="D41" s="300" t="s">
        <v>215</v>
      </c>
      <c r="E41" s="309">
        <f>(2.44*2+3.98*2)*3-(0.9*2.1)</f>
        <v>36.629999999999995</v>
      </c>
      <c r="F41" s="310">
        <v>73.92</v>
      </c>
      <c r="G41" s="310">
        <f t="shared" si="6"/>
        <v>95.92</v>
      </c>
      <c r="H41" s="310">
        <f t="shared" si="7"/>
        <v>3513.54</v>
      </c>
      <c r="J41" s="283"/>
    </row>
    <row r="42" spans="1:10" ht="5.0999999999999996" customHeight="1" x14ac:dyDescent="0.25">
      <c r="A42" s="292"/>
      <c r="B42" s="298"/>
      <c r="C42" s="299"/>
      <c r="D42" s="300"/>
      <c r="E42" s="298"/>
      <c r="F42" s="301"/>
      <c r="G42" s="301"/>
      <c r="H42" s="301"/>
      <c r="J42" s="283"/>
    </row>
    <row r="43" spans="1:10" ht="15" customHeight="1" x14ac:dyDescent="0.25">
      <c r="A43" s="296" t="s">
        <v>223</v>
      </c>
      <c r="B43" s="293"/>
      <c r="C43" s="326" t="s">
        <v>266</v>
      </c>
      <c r="D43" s="297"/>
      <c r="E43" s="297"/>
      <c r="F43" s="294"/>
      <c r="G43" s="325">
        <f>SUM(H44:H48)</f>
        <v>6597.27</v>
      </c>
      <c r="J43" s="283"/>
    </row>
    <row r="44" spans="1:10" ht="15" customHeight="1" x14ac:dyDescent="0.25">
      <c r="A44" s="292" t="s">
        <v>267</v>
      </c>
      <c r="B44" s="298" t="s">
        <v>218</v>
      </c>
      <c r="C44" s="299" t="s">
        <v>220</v>
      </c>
      <c r="D44" s="300" t="s">
        <v>215</v>
      </c>
      <c r="E44" s="298">
        <v>20.63</v>
      </c>
      <c r="F44" s="301">
        <v>13.75</v>
      </c>
      <c r="G44" s="301">
        <f>ROUNDDOWN(F44*(1+($H$13)),2)</f>
        <v>17.84</v>
      </c>
      <c r="H44" s="301">
        <f>ROUNDDOWN(E44*G44,2)</f>
        <v>368.03</v>
      </c>
      <c r="J44" s="283"/>
    </row>
    <row r="45" spans="1:10" ht="15" customHeight="1" x14ac:dyDescent="0.25">
      <c r="A45" s="292" t="s">
        <v>268</v>
      </c>
      <c r="B45" s="309" t="s">
        <v>228</v>
      </c>
      <c r="C45" s="307" t="s">
        <v>229</v>
      </c>
      <c r="D45" s="308" t="s">
        <v>17</v>
      </c>
      <c r="E45" s="309">
        <f>E44</f>
        <v>20.63</v>
      </c>
      <c r="F45" s="310">
        <v>20.67</v>
      </c>
      <c r="G45" s="310">
        <f t="shared" ref="G45:G48" si="8">ROUNDDOWN(F45*(1+($H$13)),2)</f>
        <v>26.82</v>
      </c>
      <c r="H45" s="310">
        <f t="shared" ref="H45:H48" si="9">ROUNDDOWN(E45*G45,2)</f>
        <v>553.29</v>
      </c>
      <c r="J45" s="283"/>
    </row>
    <row r="46" spans="1:10" ht="15" customHeight="1" x14ac:dyDescent="0.25">
      <c r="A46" s="292" t="s">
        <v>269</v>
      </c>
      <c r="B46" s="298" t="s">
        <v>250</v>
      </c>
      <c r="C46" s="299" t="s">
        <v>249</v>
      </c>
      <c r="D46" s="308" t="s">
        <v>216</v>
      </c>
      <c r="E46" s="309">
        <f>(3.7*2+8*2)*3*0.05*1.5</f>
        <v>5.2649999999999997</v>
      </c>
      <c r="F46" s="310">
        <v>8.39</v>
      </c>
      <c r="G46" s="310">
        <f t="shared" si="8"/>
        <v>10.88</v>
      </c>
      <c r="H46" s="310">
        <f t="shared" si="9"/>
        <v>57.28</v>
      </c>
      <c r="J46" s="283"/>
    </row>
    <row r="47" spans="1:10" ht="15" customHeight="1" x14ac:dyDescent="0.25">
      <c r="A47" s="292" t="s">
        <v>270</v>
      </c>
      <c r="B47" s="298" t="s">
        <v>251</v>
      </c>
      <c r="C47" s="299" t="s">
        <v>252</v>
      </c>
      <c r="D47" s="308" t="s">
        <v>216</v>
      </c>
      <c r="E47" s="309">
        <f>(3.7*2+8*2-1.2*2.1)*3*0.02</f>
        <v>1.2528000000000001</v>
      </c>
      <c r="F47" s="310">
        <v>506.03</v>
      </c>
      <c r="G47" s="310">
        <f t="shared" si="8"/>
        <v>656.67</v>
      </c>
      <c r="H47" s="310">
        <f t="shared" si="9"/>
        <v>822.67</v>
      </c>
      <c r="J47" s="283"/>
    </row>
    <row r="48" spans="1:10" ht="48.75" customHeight="1" x14ac:dyDescent="0.25">
      <c r="A48" s="292" t="s">
        <v>271</v>
      </c>
      <c r="B48" s="298" t="s">
        <v>254</v>
      </c>
      <c r="C48" s="299" t="s">
        <v>253</v>
      </c>
      <c r="D48" s="300" t="s">
        <v>215</v>
      </c>
      <c r="E48" s="309">
        <v>50</v>
      </c>
      <c r="F48" s="310">
        <v>73.92</v>
      </c>
      <c r="G48" s="310">
        <f t="shared" si="8"/>
        <v>95.92</v>
      </c>
      <c r="H48" s="310">
        <f t="shared" si="9"/>
        <v>4796</v>
      </c>
      <c r="J48" s="283"/>
    </row>
    <row r="49" spans="1:10" ht="15" customHeight="1" x14ac:dyDescent="0.25">
      <c r="A49" s="292"/>
      <c r="B49" s="298"/>
      <c r="C49" s="299"/>
      <c r="D49" s="300"/>
      <c r="E49" s="298"/>
      <c r="F49" s="301"/>
      <c r="G49" s="301"/>
      <c r="H49" s="301"/>
      <c r="J49" s="283"/>
    </row>
    <row r="50" spans="1:10" ht="15" customHeight="1" x14ac:dyDescent="0.25">
      <c r="A50" s="312" t="s">
        <v>224</v>
      </c>
      <c r="B50" s="313"/>
      <c r="C50" s="314" t="s">
        <v>273</v>
      </c>
      <c r="D50" s="314"/>
      <c r="E50" s="314"/>
      <c r="F50" s="335">
        <f>SUM(H51:H53)</f>
        <v>2881.77</v>
      </c>
      <c r="G50" s="336"/>
      <c r="J50" s="283"/>
    </row>
    <row r="51" spans="1:10" ht="31.5" customHeight="1" x14ac:dyDescent="0.25">
      <c r="A51" s="305" t="s">
        <v>288</v>
      </c>
      <c r="B51" s="306" t="s">
        <v>227</v>
      </c>
      <c r="C51" s="307" t="s">
        <v>244</v>
      </c>
      <c r="D51" s="308" t="s">
        <v>17</v>
      </c>
      <c r="E51" s="309">
        <f>12.82*2*2</f>
        <v>51.28</v>
      </c>
      <c r="F51" s="310">
        <v>22.43</v>
      </c>
      <c r="G51" s="310">
        <f>ROUNDDOWN(F51*(1+($H$13)),2)</f>
        <v>29.1</v>
      </c>
      <c r="H51" s="310">
        <f>ROUNDDOWN(E51*G51,2)</f>
        <v>1492.24</v>
      </c>
      <c r="J51" s="283"/>
    </row>
    <row r="52" spans="1:10" ht="30.75" customHeight="1" x14ac:dyDescent="0.25">
      <c r="A52" s="305" t="s">
        <v>289</v>
      </c>
      <c r="B52" s="309" t="s">
        <v>228</v>
      </c>
      <c r="C52" s="311" t="s">
        <v>245</v>
      </c>
      <c r="D52" s="308" t="s">
        <v>17</v>
      </c>
      <c r="E52" s="309">
        <f>12.82*2*1</f>
        <v>25.64</v>
      </c>
      <c r="F52" s="310">
        <v>20.67</v>
      </c>
      <c r="G52" s="310">
        <f>ROUNDDOWN(F52*(1+($H$13)),2)</f>
        <v>26.82</v>
      </c>
      <c r="H52" s="310">
        <f>ROUNDDOWN(E52*G52,2)</f>
        <v>687.66</v>
      </c>
      <c r="J52" s="283"/>
    </row>
    <row r="53" spans="1:10" ht="20.25" customHeight="1" x14ac:dyDescent="0.25">
      <c r="A53" s="305" t="s">
        <v>290</v>
      </c>
      <c r="B53" s="309" t="s">
        <v>228</v>
      </c>
      <c r="C53" s="307" t="s">
        <v>229</v>
      </c>
      <c r="D53" s="308" t="s">
        <v>17</v>
      </c>
      <c r="E53" s="309">
        <v>26.17</v>
      </c>
      <c r="F53" s="310">
        <v>20.67</v>
      </c>
      <c r="G53" s="310">
        <f t="shared" ref="G53" si="10">ROUNDDOWN(F53*(1+($H$13)),2)</f>
        <v>26.82</v>
      </c>
      <c r="H53" s="310">
        <f t="shared" ref="H53" si="11">ROUNDDOWN(E53*G53,2)</f>
        <v>701.87</v>
      </c>
      <c r="J53" s="283"/>
    </row>
    <row r="54" spans="1:10" ht="15" customHeight="1" x14ac:dyDescent="0.25">
      <c r="A54" s="316"/>
      <c r="B54" s="317"/>
      <c r="C54" s="320"/>
      <c r="D54" s="318"/>
      <c r="E54" s="317"/>
      <c r="F54" s="319"/>
      <c r="G54" s="319"/>
      <c r="H54" s="323"/>
      <c r="J54" s="283"/>
    </row>
    <row r="55" spans="1:10" ht="15" customHeight="1" x14ac:dyDescent="0.25">
      <c r="A55" s="296" t="s">
        <v>274</v>
      </c>
      <c r="B55" s="293"/>
      <c r="C55" s="326" t="s">
        <v>275</v>
      </c>
      <c r="D55" s="297"/>
      <c r="E55" s="297"/>
      <c r="F55" s="294"/>
      <c r="G55" s="325">
        <f>SUM(H56:H58)</f>
        <v>976.89999999999986</v>
      </c>
      <c r="J55" s="283"/>
    </row>
    <row r="56" spans="1:10" ht="48" customHeight="1" x14ac:dyDescent="0.25">
      <c r="A56" s="292" t="s">
        <v>282</v>
      </c>
      <c r="B56" s="298" t="s">
        <v>218</v>
      </c>
      <c r="C56" s="299" t="s">
        <v>220</v>
      </c>
      <c r="D56" s="300" t="s">
        <v>215</v>
      </c>
      <c r="E56" s="298">
        <v>20.63</v>
      </c>
      <c r="F56" s="301">
        <v>13.75</v>
      </c>
      <c r="G56" s="301">
        <f>ROUNDDOWN(F56*(1+($H$13)),2)</f>
        <v>17.84</v>
      </c>
      <c r="H56" s="301">
        <f>ROUNDDOWN(E56*G56,2)</f>
        <v>368.03</v>
      </c>
      <c r="J56" s="283"/>
    </row>
    <row r="57" spans="1:10" ht="30" customHeight="1" x14ac:dyDescent="0.25">
      <c r="A57" s="292" t="s">
        <v>283</v>
      </c>
      <c r="B57" s="309" t="s">
        <v>228</v>
      </c>
      <c r="C57" s="307" t="s">
        <v>229</v>
      </c>
      <c r="D57" s="308" t="s">
        <v>17</v>
      </c>
      <c r="E57" s="309">
        <v>6.21</v>
      </c>
      <c r="F57" s="310">
        <v>20.67</v>
      </c>
      <c r="G57" s="310">
        <f t="shared" ref="G57" si="12">ROUNDDOWN(F57*(1+($H$13)),2)</f>
        <v>26.82</v>
      </c>
      <c r="H57" s="310">
        <f t="shared" ref="H57" si="13">ROUNDDOWN(E57*G57,2)</f>
        <v>166.55</v>
      </c>
      <c r="J57" s="283"/>
    </row>
    <row r="58" spans="1:10" ht="30" customHeight="1" x14ac:dyDescent="0.25">
      <c r="A58" s="292" t="s">
        <v>284</v>
      </c>
      <c r="B58" s="306" t="s">
        <v>227</v>
      </c>
      <c r="C58" s="307" t="s">
        <v>279</v>
      </c>
      <c r="D58" s="308" t="s">
        <v>17</v>
      </c>
      <c r="E58" s="309">
        <f>1.6*2+2*2*3</f>
        <v>15.2</v>
      </c>
      <c r="F58" s="310">
        <v>22.43</v>
      </c>
      <c r="G58" s="310">
        <f>ROUNDDOWN(F58*(1+($H$13)),2)</f>
        <v>29.1</v>
      </c>
      <c r="H58" s="310">
        <f>ROUNDDOWN(E58*G58,2)</f>
        <v>442.32</v>
      </c>
      <c r="J58" s="283"/>
    </row>
    <row r="59" spans="1:10" ht="15" customHeight="1" x14ac:dyDescent="0.25">
      <c r="A59" s="292"/>
      <c r="B59" s="298"/>
      <c r="C59" s="299"/>
      <c r="D59" s="300"/>
      <c r="E59" s="298"/>
      <c r="F59" s="301"/>
      <c r="G59" s="301"/>
      <c r="H59" s="301"/>
      <c r="J59" s="283"/>
    </row>
    <row r="60" spans="1:10" ht="11.25" customHeight="1" x14ac:dyDescent="0.25"/>
    <row r="61" spans="1:10" ht="15.75" customHeight="1" x14ac:dyDescent="0.3">
      <c r="A61" s="69"/>
      <c r="B61" s="70"/>
      <c r="C61" s="339" t="s">
        <v>101</v>
      </c>
      <c r="D61" s="340"/>
      <c r="E61" s="340"/>
      <c r="F61" s="286">
        <f>H13</f>
        <v>0.29770000000000002</v>
      </c>
      <c r="G61" s="66"/>
      <c r="H61" s="71">
        <f>SUM(H20:H59)</f>
        <v>32847.97</v>
      </c>
    </row>
    <row r="62" spans="1:10" x14ac:dyDescent="0.25">
      <c r="E62" t="s">
        <v>281</v>
      </c>
      <c r="G62" s="327">
        <f ca="1">TODAY()</f>
        <v>44123</v>
      </c>
    </row>
    <row r="64" spans="1:10" x14ac:dyDescent="0.25">
      <c r="D64" s="60"/>
      <c r="E64" s="60"/>
      <c r="F64" s="60"/>
      <c r="H64" s="290"/>
    </row>
    <row r="65" spans="3:8" x14ac:dyDescent="0.25">
      <c r="D65" s="60"/>
      <c r="E65" s="60"/>
      <c r="F65" s="60"/>
      <c r="H65" s="60"/>
    </row>
    <row r="66" spans="3:8" ht="21" customHeight="1" x14ac:dyDescent="0.3">
      <c r="C66" s="67"/>
      <c r="D66" s="67"/>
      <c r="E66" s="67"/>
      <c r="F66" s="67"/>
      <c r="G66" s="60"/>
      <c r="H66" s="60"/>
    </row>
    <row r="67" spans="3:8" ht="21" customHeight="1" x14ac:dyDescent="0.3">
      <c r="C67" s="302"/>
      <c r="D67" s="67"/>
      <c r="E67" s="303"/>
      <c r="F67" s="67"/>
      <c r="G67" s="61"/>
    </row>
    <row r="68" spans="3:8" ht="18.75" x14ac:dyDescent="0.3">
      <c r="C68" s="303"/>
      <c r="D68" s="67"/>
      <c r="E68" s="67"/>
      <c r="F68" s="67"/>
      <c r="G68" s="61"/>
      <c r="H68" s="285"/>
    </row>
  </sheetData>
  <mergeCells count="13">
    <mergeCell ref="F19:G19"/>
    <mergeCell ref="F24:G24"/>
    <mergeCell ref="F50:G50"/>
    <mergeCell ref="C61:E61"/>
    <mergeCell ref="A11:E11"/>
    <mergeCell ref="C15:F15"/>
    <mergeCell ref="G15:H15"/>
    <mergeCell ref="A16:A17"/>
    <mergeCell ref="B16:B17"/>
    <mergeCell ref="C16:C17"/>
    <mergeCell ref="D16:D17"/>
    <mergeCell ref="E16:E17"/>
    <mergeCell ref="F16:H16"/>
  </mergeCells>
  <pageMargins left="0.51181102362204722" right="0.11811023622047245" top="0.39370078740157483" bottom="0.59055118110236227" header="0.51181102362204722" footer="0.51181102362204722"/>
  <pageSetup paperSize="9" scale="80" firstPageNumber="0" orientation="landscape" horizontalDpi="300" verticalDpi="300" r:id="rId1"/>
  <headerFooter>
    <oddFooter>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78"/>
  <sheetViews>
    <sheetView view="pageBreakPreview" zoomScale="115" zoomScaleSheetLayoutView="115" workbookViewId="0">
      <pane ySplit="17" topLeftCell="A62" activePane="bottomLeft" state="frozen"/>
      <selection pane="bottomLeft" activeCell="I68" sqref="I68"/>
    </sheetView>
  </sheetViews>
  <sheetFormatPr defaultRowHeight="15" x14ac:dyDescent="0.25"/>
  <cols>
    <col min="1" max="1" width="8.7109375" customWidth="1"/>
    <col min="2" max="2" width="10.28515625" customWidth="1"/>
    <col min="3" max="3" width="64.7109375" customWidth="1"/>
    <col min="4" max="4" width="7.85546875" customWidth="1"/>
    <col min="5" max="5" width="10.28515625" customWidth="1"/>
    <col min="6" max="6" width="13.28515625" customWidth="1"/>
    <col min="7" max="7" width="16.42578125" customWidth="1"/>
    <col min="8" max="8" width="19.42578125" customWidth="1"/>
    <col min="9" max="9" width="29.140625" customWidth="1"/>
    <col min="10" max="10" width="15.28515625" customWidth="1"/>
    <col min="11" max="1026" width="8.7109375" customWidth="1"/>
  </cols>
  <sheetData>
    <row r="8" spans="1:8" ht="7.5" customHeight="1" x14ac:dyDescent="0.25"/>
    <row r="9" spans="1:8" x14ac:dyDescent="0.25">
      <c r="A9" t="s">
        <v>221</v>
      </c>
    </row>
    <row r="10" spans="1:8" ht="3.75" customHeight="1" x14ac:dyDescent="0.25"/>
    <row r="11" spans="1:8" ht="14.25" customHeight="1" x14ac:dyDescent="0.25">
      <c r="A11" s="341" t="s">
        <v>222</v>
      </c>
      <c r="B11" s="341"/>
      <c r="C11" s="341"/>
      <c r="D11" s="341"/>
      <c r="E11" s="341"/>
    </row>
    <row r="12" spans="1:8" ht="3" customHeight="1" x14ac:dyDescent="0.25"/>
    <row r="13" spans="1:8" x14ac:dyDescent="0.25">
      <c r="A13" t="s">
        <v>2</v>
      </c>
      <c r="G13" s="63" t="s">
        <v>109</v>
      </c>
      <c r="H13" s="288">
        <v>0.29770000000000002</v>
      </c>
    </row>
    <row r="14" spans="1:8" ht="5.25" customHeight="1" x14ac:dyDescent="0.25">
      <c r="G14" s="64"/>
      <c r="H14" s="64"/>
    </row>
    <row r="15" spans="1:8" x14ac:dyDescent="0.25">
      <c r="A15" s="65" t="s">
        <v>225</v>
      </c>
      <c r="C15" s="342" t="s">
        <v>226</v>
      </c>
      <c r="D15" s="342"/>
      <c r="E15" s="342"/>
      <c r="F15" s="342"/>
      <c r="G15" s="343"/>
      <c r="H15" s="343"/>
    </row>
    <row r="16" spans="1:8" ht="15.75" x14ac:dyDescent="0.25">
      <c r="A16" s="332" t="s">
        <v>4</v>
      </c>
      <c r="B16" s="334" t="s">
        <v>187</v>
      </c>
      <c r="C16" s="332" t="s">
        <v>7</v>
      </c>
      <c r="D16" s="332" t="s">
        <v>9</v>
      </c>
      <c r="E16" s="332" t="s">
        <v>8</v>
      </c>
      <c r="F16" s="332" t="s">
        <v>10</v>
      </c>
      <c r="G16" s="332"/>
      <c r="H16" s="332"/>
    </row>
    <row r="17" spans="1:10" ht="15.75" x14ac:dyDescent="0.25">
      <c r="A17" s="332"/>
      <c r="B17" s="334"/>
      <c r="C17" s="332"/>
      <c r="D17" s="332"/>
      <c r="E17" s="332"/>
      <c r="F17" s="304" t="s">
        <v>213</v>
      </c>
      <c r="G17" s="304" t="s">
        <v>214</v>
      </c>
      <c r="H17" s="304" t="s">
        <v>12</v>
      </c>
      <c r="I17" s="291"/>
    </row>
    <row r="18" spans="1:10" ht="19.5" customHeight="1" x14ac:dyDescent="0.25">
      <c r="A18" s="292"/>
      <c r="B18" s="293"/>
      <c r="C18" s="329" t="s">
        <v>294</v>
      </c>
      <c r="D18" s="329"/>
      <c r="E18" s="329"/>
      <c r="F18" s="294"/>
      <c r="G18" s="295"/>
      <c r="H18" s="154"/>
    </row>
    <row r="19" spans="1:10" ht="18" customHeight="1" x14ac:dyDescent="0.25">
      <c r="A19" s="312" t="s">
        <v>127</v>
      </c>
      <c r="B19" s="313"/>
      <c r="C19" s="314" t="s">
        <v>236</v>
      </c>
      <c r="D19" s="314"/>
      <c r="E19" s="314"/>
      <c r="F19" s="335">
        <f>SUM(H20:H24)</f>
        <v>9429.33</v>
      </c>
      <c r="G19" s="336"/>
    </row>
    <row r="20" spans="1:10" ht="31.5" customHeight="1" x14ac:dyDescent="0.25">
      <c r="A20" s="305" t="s">
        <v>230</v>
      </c>
      <c r="B20" s="306" t="s">
        <v>227</v>
      </c>
      <c r="C20" s="307" t="s">
        <v>244</v>
      </c>
      <c r="D20" s="308" t="s">
        <v>17</v>
      </c>
      <c r="E20" s="309">
        <f>91.98*2</f>
        <v>183.96</v>
      </c>
      <c r="F20" s="310">
        <v>22.43</v>
      </c>
      <c r="G20" s="310">
        <f>ROUNDDOWN(F20*(1+($H$13)),2)</f>
        <v>29.1</v>
      </c>
      <c r="H20" s="310">
        <f>ROUNDDOWN(E20*G20,2)</f>
        <v>5353.23</v>
      </c>
    </row>
    <row r="21" spans="1:10" ht="19.5" customHeight="1" x14ac:dyDescent="0.25">
      <c r="A21" s="305" t="s">
        <v>231</v>
      </c>
      <c r="B21" s="309" t="s">
        <v>228</v>
      </c>
      <c r="C21" s="307" t="s">
        <v>229</v>
      </c>
      <c r="D21" s="308" t="s">
        <v>17</v>
      </c>
      <c r="E21" s="309">
        <v>60</v>
      </c>
      <c r="F21" s="310">
        <v>20.67</v>
      </c>
      <c r="G21" s="310">
        <f t="shared" ref="G21:G24" si="0">ROUNDDOWN(F21*(1+($H$13)),2)</f>
        <v>26.82</v>
      </c>
      <c r="H21" s="310">
        <f t="shared" ref="H21:H22" si="1">ROUNDDOWN(E21*G21,2)</f>
        <v>1609.2</v>
      </c>
    </row>
    <row r="22" spans="1:10" ht="31.5" x14ac:dyDescent="0.25">
      <c r="A22" s="305" t="s">
        <v>232</v>
      </c>
      <c r="B22" s="309" t="s">
        <v>228</v>
      </c>
      <c r="C22" s="311" t="s">
        <v>245</v>
      </c>
      <c r="D22" s="308" t="s">
        <v>17</v>
      </c>
      <c r="E22" s="309">
        <f>91.98*1</f>
        <v>91.98</v>
      </c>
      <c r="F22" s="310">
        <v>20.67</v>
      </c>
      <c r="G22" s="310">
        <f t="shared" si="0"/>
        <v>26.82</v>
      </c>
      <c r="H22" s="310">
        <f t="shared" si="1"/>
        <v>2466.9</v>
      </c>
      <c r="J22" s="283"/>
    </row>
    <row r="23" spans="1:10" ht="28.5" customHeight="1" x14ac:dyDescent="0.25">
      <c r="A23" s="305" t="s">
        <v>233</v>
      </c>
      <c r="B23" s="309" t="s">
        <v>237</v>
      </c>
      <c r="C23" s="322" t="s">
        <v>238</v>
      </c>
      <c r="D23" s="308" t="s">
        <v>17</v>
      </c>
      <c r="E23" s="309">
        <f>SUM(E20:E22)*0.5</f>
        <v>167.97</v>
      </c>
      <c r="F23" s="310">
        <v>3.81</v>
      </c>
      <c r="G23" s="310">
        <f t="shared" si="0"/>
        <v>4.9400000000000004</v>
      </c>
      <c r="H23" s="310"/>
      <c r="J23" s="283"/>
    </row>
    <row r="24" spans="1:10" ht="35.25" customHeight="1" x14ac:dyDescent="0.25">
      <c r="A24" s="305" t="s">
        <v>287</v>
      </c>
      <c r="B24" s="309" t="s">
        <v>234</v>
      </c>
      <c r="C24" s="322" t="s">
        <v>235</v>
      </c>
      <c r="D24" s="308" t="s">
        <v>219</v>
      </c>
      <c r="E24" s="309">
        <v>5</v>
      </c>
      <c r="F24" s="323">
        <v>282.36</v>
      </c>
      <c r="G24" s="323">
        <f t="shared" si="0"/>
        <v>366.41</v>
      </c>
      <c r="H24" s="323"/>
      <c r="J24" s="283"/>
    </row>
    <row r="25" spans="1:10" ht="5.0999999999999996" customHeight="1" x14ac:dyDescent="0.25">
      <c r="A25" s="316"/>
      <c r="B25" s="317"/>
      <c r="C25" s="320"/>
      <c r="D25" s="318"/>
      <c r="E25" s="317"/>
      <c r="F25" s="319"/>
      <c r="G25" s="319"/>
      <c r="H25" s="319"/>
      <c r="J25" s="283"/>
    </row>
    <row r="26" spans="1:10" ht="15" customHeight="1" x14ac:dyDescent="0.25">
      <c r="A26" s="312" t="s">
        <v>130</v>
      </c>
      <c r="B26" s="313"/>
      <c r="C26" s="314" t="s">
        <v>239</v>
      </c>
      <c r="D26" s="314"/>
      <c r="E26" s="314"/>
      <c r="F26" s="337">
        <f>SUM(H27:H30)</f>
        <v>2028.84</v>
      </c>
      <c r="G26" s="338"/>
      <c r="J26" s="283"/>
    </row>
    <row r="27" spans="1:10" ht="29.25" customHeight="1" x14ac:dyDescent="0.25">
      <c r="A27" s="305" t="s">
        <v>240</v>
      </c>
      <c r="B27" s="309" t="s">
        <v>218</v>
      </c>
      <c r="C27" s="321" t="s">
        <v>220</v>
      </c>
      <c r="D27" s="308" t="s">
        <v>17</v>
      </c>
      <c r="E27" s="309">
        <v>22.7</v>
      </c>
      <c r="F27" s="310">
        <v>13.75</v>
      </c>
      <c r="G27" s="310">
        <f>ROUNDDOWN(F27*(1+($H$13)),2)</f>
        <v>17.84</v>
      </c>
      <c r="H27" s="310">
        <f>ROUNDDOWN(E27*G27,2)</f>
        <v>404.96</v>
      </c>
      <c r="J27" s="283"/>
    </row>
    <row r="28" spans="1:10" ht="29.25" customHeight="1" x14ac:dyDescent="0.25">
      <c r="A28" s="305" t="s">
        <v>241</v>
      </c>
      <c r="B28" s="306" t="s">
        <v>227</v>
      </c>
      <c r="C28" s="307" t="s">
        <v>244</v>
      </c>
      <c r="D28" s="308" t="s">
        <v>17</v>
      </c>
      <c r="E28" s="309">
        <f>19.1*2</f>
        <v>38.200000000000003</v>
      </c>
      <c r="F28" s="310">
        <v>22.43</v>
      </c>
      <c r="G28" s="310">
        <f>ROUNDDOWN(F28*(1+($H$13)),2)</f>
        <v>29.1</v>
      </c>
      <c r="H28" s="310">
        <f>ROUNDDOWN(E28*G28,2)</f>
        <v>1111.6199999999999</v>
      </c>
      <c r="J28" s="283"/>
    </row>
    <row r="29" spans="1:10" ht="28.5" customHeight="1" x14ac:dyDescent="0.25">
      <c r="A29" s="305" t="s">
        <v>242</v>
      </c>
      <c r="B29" s="309" t="s">
        <v>228</v>
      </c>
      <c r="C29" s="307" t="s">
        <v>245</v>
      </c>
      <c r="D29" s="308" t="s">
        <v>17</v>
      </c>
      <c r="E29" s="309">
        <f>19.1*1</f>
        <v>19.100000000000001</v>
      </c>
      <c r="F29" s="310">
        <v>20.67</v>
      </c>
      <c r="G29" s="310">
        <f t="shared" ref="G29:G30" si="2">ROUNDDOWN(F29*(1+($H$13)),2)</f>
        <v>26.82</v>
      </c>
      <c r="H29" s="310">
        <f t="shared" ref="H29" si="3">ROUNDDOWN(E29*G29,2)</f>
        <v>512.26</v>
      </c>
      <c r="J29" s="283"/>
    </row>
    <row r="30" spans="1:10" ht="30" customHeight="1" x14ac:dyDescent="0.25">
      <c r="A30" s="305" t="s">
        <v>243</v>
      </c>
      <c r="B30" s="309" t="s">
        <v>237</v>
      </c>
      <c r="C30" s="322" t="s">
        <v>238</v>
      </c>
      <c r="D30" s="308" t="s">
        <v>17</v>
      </c>
      <c r="E30" s="309">
        <f>SUM(E28:E29)*0.5</f>
        <v>28.650000000000002</v>
      </c>
      <c r="F30" s="310">
        <v>3.81</v>
      </c>
      <c r="G30" s="310">
        <f t="shared" si="2"/>
        <v>4.9400000000000004</v>
      </c>
      <c r="H30" s="310"/>
      <c r="J30" s="283"/>
    </row>
    <row r="31" spans="1:10" ht="5.0999999999999996" customHeight="1" x14ac:dyDescent="0.25">
      <c r="A31" s="305"/>
      <c r="B31" s="309"/>
      <c r="C31" s="311"/>
      <c r="D31" s="308"/>
      <c r="E31" s="309"/>
      <c r="F31" s="310"/>
      <c r="G31" s="310"/>
      <c r="H31" s="310"/>
      <c r="J31" s="283"/>
    </row>
    <row r="32" spans="1:10" ht="15" customHeight="1" x14ac:dyDescent="0.25">
      <c r="A32" s="312" t="s">
        <v>132</v>
      </c>
      <c r="B32" s="313"/>
      <c r="C32" s="314" t="s">
        <v>246</v>
      </c>
      <c r="D32" s="314"/>
      <c r="E32" s="314"/>
      <c r="F32" s="315"/>
      <c r="G32" s="324">
        <f>SUM(H33:H38)</f>
        <v>6342.19</v>
      </c>
      <c r="J32" s="283"/>
    </row>
    <row r="33" spans="1:10" ht="31.5" customHeight="1" x14ac:dyDescent="0.25">
      <c r="A33" s="305" t="s">
        <v>247</v>
      </c>
      <c r="B33" s="309" t="s">
        <v>218</v>
      </c>
      <c r="C33" s="321" t="s">
        <v>220</v>
      </c>
      <c r="D33" s="308" t="s">
        <v>17</v>
      </c>
      <c r="E33" s="309">
        <v>20.14</v>
      </c>
      <c r="F33" s="310">
        <v>13.75</v>
      </c>
      <c r="G33" s="310">
        <f>ROUNDDOWN(F33*(1+($H$13)),2)</f>
        <v>17.84</v>
      </c>
      <c r="H33" s="310">
        <f>ROUNDDOWN(E33*G33,2)</f>
        <v>359.29</v>
      </c>
      <c r="J33" s="283"/>
    </row>
    <row r="34" spans="1:10" ht="31.5" customHeight="1" x14ac:dyDescent="0.25">
      <c r="A34" s="305" t="s">
        <v>248</v>
      </c>
      <c r="B34" s="309" t="s">
        <v>228</v>
      </c>
      <c r="C34" s="307" t="s">
        <v>229</v>
      </c>
      <c r="D34" s="308" t="s">
        <v>17</v>
      </c>
      <c r="E34" s="309">
        <v>20.14</v>
      </c>
      <c r="F34" s="310">
        <v>20.67</v>
      </c>
      <c r="G34" s="310">
        <f t="shared" ref="G34:G38" si="4">ROUNDDOWN(F34*(1+($H$13)),2)</f>
        <v>26.82</v>
      </c>
      <c r="H34" s="310">
        <f t="shared" ref="H34:H37" si="5">ROUNDDOWN(E34*G34,2)</f>
        <v>540.15</v>
      </c>
      <c r="J34" s="283"/>
    </row>
    <row r="35" spans="1:10" ht="31.5" customHeight="1" x14ac:dyDescent="0.25">
      <c r="A35" s="305" t="s">
        <v>255</v>
      </c>
      <c r="B35" s="309" t="s">
        <v>250</v>
      </c>
      <c r="C35" s="321" t="s">
        <v>249</v>
      </c>
      <c r="D35" s="308" t="s">
        <v>22</v>
      </c>
      <c r="E35" s="309">
        <f>(5.06*2+3.98*2)*3*0.05*1.5</f>
        <v>4.0679999999999996</v>
      </c>
      <c r="F35" s="310">
        <v>8.39</v>
      </c>
      <c r="G35" s="310">
        <f t="shared" si="4"/>
        <v>10.88</v>
      </c>
      <c r="H35" s="310">
        <f t="shared" si="5"/>
        <v>44.25</v>
      </c>
      <c r="J35" s="283"/>
    </row>
    <row r="36" spans="1:10" ht="31.5" customHeight="1" x14ac:dyDescent="0.25">
      <c r="A36" s="305" t="s">
        <v>256</v>
      </c>
      <c r="B36" s="309" t="s">
        <v>251</v>
      </c>
      <c r="C36" s="321" t="s">
        <v>252</v>
      </c>
      <c r="D36" s="308" t="s">
        <v>22</v>
      </c>
      <c r="E36" s="309">
        <f>(5.06*2+3.98*2-1.2*2.1)*3*0.02</f>
        <v>0.93359999999999987</v>
      </c>
      <c r="F36" s="310">
        <v>506.03</v>
      </c>
      <c r="G36" s="310">
        <f t="shared" si="4"/>
        <v>656.67</v>
      </c>
      <c r="H36" s="310">
        <f t="shared" si="5"/>
        <v>613.05999999999995</v>
      </c>
      <c r="J36" s="283"/>
    </row>
    <row r="37" spans="1:10" ht="49.5" customHeight="1" x14ac:dyDescent="0.25">
      <c r="A37" s="305" t="s">
        <v>257</v>
      </c>
      <c r="B37" s="309" t="s">
        <v>254</v>
      </c>
      <c r="C37" s="321" t="s">
        <v>253</v>
      </c>
      <c r="D37" s="308" t="s">
        <v>17</v>
      </c>
      <c r="E37" s="309">
        <f>(5.06*2+3.98*2)*3-(1.5*2.1+1.2*1)</f>
        <v>49.889999999999993</v>
      </c>
      <c r="F37" s="310">
        <v>73.92</v>
      </c>
      <c r="G37" s="310">
        <f t="shared" si="4"/>
        <v>95.92</v>
      </c>
      <c r="H37" s="310">
        <f t="shared" si="5"/>
        <v>4785.4399999999996</v>
      </c>
      <c r="J37" s="283"/>
    </row>
    <row r="38" spans="1:10" ht="31.5" customHeight="1" x14ac:dyDescent="0.25">
      <c r="A38" s="305" t="s">
        <v>258</v>
      </c>
      <c r="B38" s="309" t="s">
        <v>234</v>
      </c>
      <c r="C38" s="322" t="s">
        <v>235</v>
      </c>
      <c r="D38" s="308" t="s">
        <v>219</v>
      </c>
      <c r="E38" s="309">
        <v>2</v>
      </c>
      <c r="F38" s="323">
        <v>282.36</v>
      </c>
      <c r="G38" s="323">
        <f t="shared" si="4"/>
        <v>366.41</v>
      </c>
      <c r="H38" s="323"/>
      <c r="J38" s="283"/>
    </row>
    <row r="39" spans="1:10" ht="5.0999999999999996" customHeight="1" x14ac:dyDescent="0.25">
      <c r="A39" s="292"/>
      <c r="B39" s="298"/>
      <c r="C39" s="299"/>
      <c r="D39" s="300"/>
      <c r="E39" s="298"/>
      <c r="F39" s="301"/>
      <c r="G39" s="301"/>
      <c r="H39" s="301"/>
      <c r="J39" s="283"/>
    </row>
    <row r="40" spans="1:10" ht="15" customHeight="1" x14ac:dyDescent="0.25">
      <c r="A40" s="296" t="s">
        <v>134</v>
      </c>
      <c r="B40" s="293"/>
      <c r="C40" s="326" t="s">
        <v>259</v>
      </c>
      <c r="D40" s="297"/>
      <c r="E40" s="297"/>
      <c r="F40" s="294"/>
      <c r="G40" s="325">
        <f>SUM(H41:H46)</f>
        <v>4591.67</v>
      </c>
      <c r="J40" s="283"/>
    </row>
    <row r="41" spans="1:10" ht="33" customHeight="1" x14ac:dyDescent="0.25">
      <c r="A41" s="292" t="s">
        <v>260</v>
      </c>
      <c r="B41" s="298" t="s">
        <v>218</v>
      </c>
      <c r="C41" s="299" t="s">
        <v>220</v>
      </c>
      <c r="D41" s="300" t="s">
        <v>215</v>
      </c>
      <c r="E41" s="298">
        <v>9.7100000000000009</v>
      </c>
      <c r="F41" s="301">
        <v>13.75</v>
      </c>
      <c r="G41" s="301">
        <f>ROUNDDOWN(F41*(1+($H$13)),2)</f>
        <v>17.84</v>
      </c>
      <c r="H41" s="301">
        <f>ROUNDDOWN(E41*G41,2)</f>
        <v>173.22</v>
      </c>
      <c r="J41" s="283"/>
    </row>
    <row r="42" spans="1:10" ht="15" customHeight="1" x14ac:dyDescent="0.25">
      <c r="A42" s="292" t="s">
        <v>261</v>
      </c>
      <c r="B42" s="309" t="s">
        <v>228</v>
      </c>
      <c r="C42" s="307" t="s">
        <v>229</v>
      </c>
      <c r="D42" s="308" t="s">
        <v>17</v>
      </c>
      <c r="E42" s="309">
        <v>9.7100000000000009</v>
      </c>
      <c r="F42" s="310">
        <v>20.67</v>
      </c>
      <c r="G42" s="310">
        <f t="shared" ref="G42:G46" si="6">ROUNDDOWN(F42*(1+($H$13)),2)</f>
        <v>26.82</v>
      </c>
      <c r="H42" s="310">
        <f t="shared" ref="H42:H45" si="7">ROUNDDOWN(E42*G42,2)</f>
        <v>260.42</v>
      </c>
      <c r="J42" s="283"/>
    </row>
    <row r="43" spans="1:10" ht="19.5" customHeight="1" x14ac:dyDescent="0.25">
      <c r="A43" s="292" t="s">
        <v>262</v>
      </c>
      <c r="B43" s="298" t="s">
        <v>250</v>
      </c>
      <c r="C43" s="299" t="s">
        <v>249</v>
      </c>
      <c r="D43" s="308" t="s">
        <v>216</v>
      </c>
      <c r="E43" s="309">
        <f>(2.44*2+3.98*2)*3*0.05*1.5</f>
        <v>2.8889999999999998</v>
      </c>
      <c r="F43" s="310">
        <v>8.39</v>
      </c>
      <c r="G43" s="310">
        <f t="shared" si="6"/>
        <v>10.88</v>
      </c>
      <c r="H43" s="310">
        <f t="shared" si="7"/>
        <v>31.43</v>
      </c>
      <c r="J43" s="283"/>
    </row>
    <row r="44" spans="1:10" ht="15" customHeight="1" x14ac:dyDescent="0.25">
      <c r="A44" s="292" t="s">
        <v>263</v>
      </c>
      <c r="B44" s="298" t="s">
        <v>251</v>
      </c>
      <c r="C44" s="299" t="s">
        <v>252</v>
      </c>
      <c r="D44" s="308" t="s">
        <v>216</v>
      </c>
      <c r="E44" s="309">
        <f>(5.06*2+3.98*2-1.2*2.1)*3*0.02</f>
        <v>0.93359999999999987</v>
      </c>
      <c r="F44" s="310">
        <v>506.03</v>
      </c>
      <c r="G44" s="310">
        <f t="shared" si="6"/>
        <v>656.67</v>
      </c>
      <c r="H44" s="310">
        <f t="shared" si="7"/>
        <v>613.05999999999995</v>
      </c>
      <c r="J44" s="283"/>
    </row>
    <row r="45" spans="1:10" ht="50.25" customHeight="1" x14ac:dyDescent="0.25">
      <c r="A45" s="292" t="s">
        <v>264</v>
      </c>
      <c r="B45" s="298" t="s">
        <v>254</v>
      </c>
      <c r="C45" s="299" t="s">
        <v>253</v>
      </c>
      <c r="D45" s="300" t="s">
        <v>215</v>
      </c>
      <c r="E45" s="309">
        <f>(2.44*2+3.98*2)*3-(0.9*2.1)</f>
        <v>36.629999999999995</v>
      </c>
      <c r="F45" s="310">
        <v>73.92</v>
      </c>
      <c r="G45" s="310">
        <f t="shared" si="6"/>
        <v>95.92</v>
      </c>
      <c r="H45" s="310">
        <f t="shared" si="7"/>
        <v>3513.54</v>
      </c>
      <c r="J45" s="283"/>
    </row>
    <row r="46" spans="1:10" ht="34.5" customHeight="1" x14ac:dyDescent="0.25">
      <c r="A46" s="292" t="s">
        <v>265</v>
      </c>
      <c r="B46" s="309" t="s">
        <v>234</v>
      </c>
      <c r="C46" s="322" t="s">
        <v>235</v>
      </c>
      <c r="D46" s="308" t="s">
        <v>219</v>
      </c>
      <c r="E46" s="309">
        <v>1</v>
      </c>
      <c r="F46" s="323">
        <v>282.36</v>
      </c>
      <c r="G46" s="323">
        <f t="shared" si="6"/>
        <v>366.41</v>
      </c>
      <c r="H46" s="323"/>
      <c r="J46" s="283"/>
    </row>
    <row r="47" spans="1:10" ht="5.0999999999999996" customHeight="1" x14ac:dyDescent="0.25">
      <c r="A47" s="292"/>
      <c r="B47" s="298"/>
      <c r="C47" s="299"/>
      <c r="D47" s="300"/>
      <c r="E47" s="298"/>
      <c r="F47" s="301"/>
      <c r="G47" s="301"/>
      <c r="H47" s="301"/>
      <c r="J47" s="283"/>
    </row>
    <row r="48" spans="1:10" ht="15" customHeight="1" x14ac:dyDescent="0.25">
      <c r="A48" s="296" t="s">
        <v>223</v>
      </c>
      <c r="B48" s="293"/>
      <c r="C48" s="326" t="s">
        <v>266</v>
      </c>
      <c r="D48" s="297"/>
      <c r="E48" s="297"/>
      <c r="F48" s="294"/>
      <c r="G48" s="325">
        <f>SUM(H49:H54)</f>
        <v>6597.27</v>
      </c>
      <c r="J48" s="283"/>
    </row>
    <row r="49" spans="1:10" ht="15" customHeight="1" x14ac:dyDescent="0.25">
      <c r="A49" s="292" t="s">
        <v>267</v>
      </c>
      <c r="B49" s="298" t="s">
        <v>218</v>
      </c>
      <c r="C49" s="299" t="s">
        <v>220</v>
      </c>
      <c r="D49" s="300" t="s">
        <v>215</v>
      </c>
      <c r="E49" s="298">
        <v>20.63</v>
      </c>
      <c r="F49" s="301">
        <v>13.75</v>
      </c>
      <c r="G49" s="301">
        <f>ROUNDDOWN(F49*(1+($H$13)),2)</f>
        <v>17.84</v>
      </c>
      <c r="H49" s="301">
        <f>ROUNDDOWN(E49*G49,2)</f>
        <v>368.03</v>
      </c>
      <c r="J49" s="283"/>
    </row>
    <row r="50" spans="1:10" ht="15" customHeight="1" x14ac:dyDescent="0.25">
      <c r="A50" s="292" t="s">
        <v>268</v>
      </c>
      <c r="B50" s="309" t="s">
        <v>228</v>
      </c>
      <c r="C50" s="307" t="s">
        <v>229</v>
      </c>
      <c r="D50" s="308" t="s">
        <v>17</v>
      </c>
      <c r="E50" s="309">
        <f>E49</f>
        <v>20.63</v>
      </c>
      <c r="F50" s="310">
        <v>20.67</v>
      </c>
      <c r="G50" s="310">
        <f t="shared" ref="G50:G54" si="8">ROUNDDOWN(F50*(1+($H$13)),2)</f>
        <v>26.82</v>
      </c>
      <c r="H50" s="310">
        <f t="shared" ref="H50:H53" si="9">ROUNDDOWN(E50*G50,2)</f>
        <v>553.29</v>
      </c>
      <c r="J50" s="283"/>
    </row>
    <row r="51" spans="1:10" ht="15" customHeight="1" x14ac:dyDescent="0.25">
      <c r="A51" s="292" t="s">
        <v>269</v>
      </c>
      <c r="B51" s="298" t="s">
        <v>250</v>
      </c>
      <c r="C51" s="299" t="s">
        <v>249</v>
      </c>
      <c r="D51" s="308" t="s">
        <v>216</v>
      </c>
      <c r="E51" s="309">
        <f>(3.7*2+8*2)*3*0.05*1.5</f>
        <v>5.2649999999999997</v>
      </c>
      <c r="F51" s="310">
        <v>8.39</v>
      </c>
      <c r="G51" s="310">
        <f t="shared" si="8"/>
        <v>10.88</v>
      </c>
      <c r="H51" s="310">
        <f t="shared" si="9"/>
        <v>57.28</v>
      </c>
      <c r="J51" s="283"/>
    </row>
    <row r="52" spans="1:10" ht="15" customHeight="1" x14ac:dyDescent="0.25">
      <c r="A52" s="292" t="s">
        <v>270</v>
      </c>
      <c r="B52" s="298" t="s">
        <v>251</v>
      </c>
      <c r="C52" s="299" t="s">
        <v>252</v>
      </c>
      <c r="D52" s="308" t="s">
        <v>216</v>
      </c>
      <c r="E52" s="309">
        <f>(3.7*2+8*2-1.2*2.1)*3*0.02</f>
        <v>1.2528000000000001</v>
      </c>
      <c r="F52" s="310">
        <v>506.03</v>
      </c>
      <c r="G52" s="310">
        <f t="shared" si="8"/>
        <v>656.67</v>
      </c>
      <c r="H52" s="310">
        <f t="shared" si="9"/>
        <v>822.67</v>
      </c>
      <c r="J52" s="283"/>
    </row>
    <row r="53" spans="1:10" ht="48.75" customHeight="1" x14ac:dyDescent="0.25">
      <c r="A53" s="292" t="s">
        <v>271</v>
      </c>
      <c r="B53" s="298" t="s">
        <v>254</v>
      </c>
      <c r="C53" s="299" t="s">
        <v>253</v>
      </c>
      <c r="D53" s="300" t="s">
        <v>215</v>
      </c>
      <c r="E53" s="309">
        <v>50</v>
      </c>
      <c r="F53" s="310">
        <v>73.92</v>
      </c>
      <c r="G53" s="310">
        <f t="shared" si="8"/>
        <v>95.92</v>
      </c>
      <c r="H53" s="310">
        <f t="shared" si="9"/>
        <v>4796</v>
      </c>
      <c r="J53" s="283"/>
    </row>
    <row r="54" spans="1:10" ht="30.75" customHeight="1" x14ac:dyDescent="0.25">
      <c r="A54" s="292" t="s">
        <v>272</v>
      </c>
      <c r="B54" s="309" t="s">
        <v>234</v>
      </c>
      <c r="C54" s="322" t="s">
        <v>235</v>
      </c>
      <c r="D54" s="308" t="s">
        <v>219</v>
      </c>
      <c r="E54" s="309">
        <v>2</v>
      </c>
      <c r="F54" s="323">
        <v>282.36</v>
      </c>
      <c r="G54" s="323">
        <f t="shared" si="8"/>
        <v>366.41</v>
      </c>
      <c r="H54" s="323"/>
      <c r="J54" s="283"/>
    </row>
    <row r="55" spans="1:10" ht="15" customHeight="1" x14ac:dyDescent="0.25">
      <c r="A55" s="292"/>
      <c r="B55" s="298"/>
      <c r="C55" s="299"/>
      <c r="D55" s="300"/>
      <c r="E55" s="298"/>
      <c r="F55" s="301"/>
      <c r="G55" s="301"/>
      <c r="H55" s="301"/>
      <c r="J55" s="283"/>
    </row>
    <row r="56" spans="1:10" ht="15" customHeight="1" x14ac:dyDescent="0.25">
      <c r="A56" s="312" t="s">
        <v>224</v>
      </c>
      <c r="B56" s="313"/>
      <c r="C56" s="314" t="s">
        <v>273</v>
      </c>
      <c r="D56" s="314"/>
      <c r="E56" s="314"/>
      <c r="F56" s="335">
        <f>SUM(H57:H61)</f>
        <v>2881.77</v>
      </c>
      <c r="G56" s="336"/>
      <c r="J56" s="283"/>
    </row>
    <row r="57" spans="1:10" ht="31.5" customHeight="1" x14ac:dyDescent="0.25">
      <c r="A57" s="305" t="s">
        <v>288</v>
      </c>
      <c r="B57" s="306" t="s">
        <v>227</v>
      </c>
      <c r="C57" s="307" t="s">
        <v>244</v>
      </c>
      <c r="D57" s="308" t="s">
        <v>17</v>
      </c>
      <c r="E57" s="309">
        <f>12.82*2*2</f>
        <v>51.28</v>
      </c>
      <c r="F57" s="310">
        <v>22.43</v>
      </c>
      <c r="G57" s="310">
        <f>ROUNDDOWN(F57*(1+($H$13)),2)</f>
        <v>29.1</v>
      </c>
      <c r="H57" s="310">
        <f>ROUNDDOWN(E57*G57,2)</f>
        <v>1492.24</v>
      </c>
      <c r="J57" s="283"/>
    </row>
    <row r="58" spans="1:10" ht="30.75" customHeight="1" x14ac:dyDescent="0.25">
      <c r="A58" s="305" t="s">
        <v>289</v>
      </c>
      <c r="B58" s="309" t="s">
        <v>228</v>
      </c>
      <c r="C58" s="311" t="s">
        <v>245</v>
      </c>
      <c r="D58" s="308" t="s">
        <v>17</v>
      </c>
      <c r="E58" s="309">
        <f>12.82*2*1</f>
        <v>25.64</v>
      </c>
      <c r="F58" s="310">
        <v>20.67</v>
      </c>
      <c r="G58" s="310">
        <f>ROUNDDOWN(F58*(1+($H$13)),2)</f>
        <v>26.82</v>
      </c>
      <c r="H58" s="310">
        <f>ROUNDDOWN(E58*G58,2)</f>
        <v>687.66</v>
      </c>
      <c r="J58" s="283"/>
    </row>
    <row r="59" spans="1:10" ht="20.25" customHeight="1" x14ac:dyDescent="0.25">
      <c r="A59" s="305" t="s">
        <v>290</v>
      </c>
      <c r="B59" s="309" t="s">
        <v>228</v>
      </c>
      <c r="C59" s="307" t="s">
        <v>229</v>
      </c>
      <c r="D59" s="308" t="s">
        <v>17</v>
      </c>
      <c r="E59" s="309">
        <v>26.17</v>
      </c>
      <c r="F59" s="310">
        <v>20.67</v>
      </c>
      <c r="G59" s="310">
        <f t="shared" ref="G59:G61" si="10">ROUNDDOWN(F59*(1+($H$13)),2)</f>
        <v>26.82</v>
      </c>
      <c r="H59" s="310">
        <f t="shared" ref="H59" si="11">ROUNDDOWN(E59*G59,2)</f>
        <v>701.87</v>
      </c>
      <c r="J59" s="283"/>
    </row>
    <row r="60" spans="1:10" ht="34.5" customHeight="1" x14ac:dyDescent="0.25">
      <c r="A60" s="305" t="s">
        <v>291</v>
      </c>
      <c r="B60" s="309" t="s">
        <v>237</v>
      </c>
      <c r="C60" s="322" t="s">
        <v>238</v>
      </c>
      <c r="D60" s="308" t="s">
        <v>17</v>
      </c>
      <c r="E60" s="309">
        <f>SUM(E57:E59)*0.5</f>
        <v>51.545000000000002</v>
      </c>
      <c r="F60" s="310">
        <v>3.81</v>
      </c>
      <c r="G60" s="310">
        <f t="shared" si="10"/>
        <v>4.9400000000000004</v>
      </c>
      <c r="H60" s="310"/>
      <c r="J60" s="283"/>
    </row>
    <row r="61" spans="1:10" ht="31.5" customHeight="1" x14ac:dyDescent="0.25">
      <c r="A61" s="305" t="s">
        <v>292</v>
      </c>
      <c r="B61" s="309" t="s">
        <v>234</v>
      </c>
      <c r="C61" s="322" t="s">
        <v>235</v>
      </c>
      <c r="D61" s="308" t="s">
        <v>219</v>
      </c>
      <c r="E61" s="309">
        <v>3</v>
      </c>
      <c r="F61" s="323">
        <v>282.36</v>
      </c>
      <c r="G61" s="323">
        <f t="shared" si="10"/>
        <v>366.41</v>
      </c>
      <c r="H61" s="323"/>
      <c r="J61" s="283"/>
    </row>
    <row r="62" spans="1:10" ht="15" customHeight="1" x14ac:dyDescent="0.25">
      <c r="A62" s="316"/>
      <c r="B62" s="317"/>
      <c r="C62" s="320"/>
      <c r="D62" s="318"/>
      <c r="E62" s="317"/>
      <c r="F62" s="319"/>
      <c r="G62" s="319"/>
      <c r="H62" s="323"/>
      <c r="J62" s="283"/>
    </row>
    <row r="63" spans="1:10" ht="15" customHeight="1" x14ac:dyDescent="0.25">
      <c r="A63" s="296" t="s">
        <v>274</v>
      </c>
      <c r="B63" s="293"/>
      <c r="C63" s="326" t="s">
        <v>275</v>
      </c>
      <c r="D63" s="297"/>
      <c r="E63" s="297"/>
      <c r="F63" s="294"/>
      <c r="G63" s="325">
        <f>SUM(H64:H68)</f>
        <v>976.89999999999986</v>
      </c>
      <c r="J63" s="283"/>
    </row>
    <row r="64" spans="1:10" ht="37.5" customHeight="1" x14ac:dyDescent="0.25">
      <c r="A64" s="292" t="s">
        <v>282</v>
      </c>
      <c r="B64" s="298" t="s">
        <v>218</v>
      </c>
      <c r="C64" s="299" t="s">
        <v>220</v>
      </c>
      <c r="D64" s="300" t="s">
        <v>215</v>
      </c>
      <c r="E64" s="298">
        <v>20.63</v>
      </c>
      <c r="F64" s="301">
        <v>13.75</v>
      </c>
      <c r="G64" s="301">
        <f>ROUNDDOWN(F64*(1+($H$13)),2)</f>
        <v>17.84</v>
      </c>
      <c r="H64" s="301">
        <f>ROUNDDOWN(E64*G64,2)</f>
        <v>368.03</v>
      </c>
      <c r="J64" s="283"/>
    </row>
    <row r="65" spans="1:10" ht="30" customHeight="1" x14ac:dyDescent="0.25">
      <c r="A65" s="292" t="s">
        <v>283</v>
      </c>
      <c r="B65" s="309" t="s">
        <v>228</v>
      </c>
      <c r="C65" s="307" t="s">
        <v>229</v>
      </c>
      <c r="D65" s="308" t="s">
        <v>17</v>
      </c>
      <c r="E65" s="309">
        <v>6.21</v>
      </c>
      <c r="F65" s="310">
        <v>20.67</v>
      </c>
      <c r="G65" s="310">
        <f t="shared" ref="G65" si="12">ROUNDDOWN(F65*(1+($H$13)),2)</f>
        <v>26.82</v>
      </c>
      <c r="H65" s="310">
        <f t="shared" ref="H65" si="13">ROUNDDOWN(E65*G65,2)</f>
        <v>166.55</v>
      </c>
      <c r="J65" s="283"/>
    </row>
    <row r="66" spans="1:10" ht="30" customHeight="1" x14ac:dyDescent="0.25">
      <c r="A66" s="292" t="s">
        <v>284</v>
      </c>
      <c r="B66" s="306" t="s">
        <v>227</v>
      </c>
      <c r="C66" s="307" t="s">
        <v>279</v>
      </c>
      <c r="D66" s="308" t="s">
        <v>17</v>
      </c>
      <c r="E66" s="309">
        <f>1.6*2+2*2*3</f>
        <v>15.2</v>
      </c>
      <c r="F66" s="310">
        <v>22.43</v>
      </c>
      <c r="G66" s="310">
        <f>ROUNDDOWN(F66*(1+($H$13)),2)</f>
        <v>29.1</v>
      </c>
      <c r="H66" s="310">
        <f>ROUNDDOWN(E66*G66,2)</f>
        <v>442.32</v>
      </c>
      <c r="J66" s="283"/>
    </row>
    <row r="67" spans="1:10" ht="31.5" customHeight="1" x14ac:dyDescent="0.25">
      <c r="A67" s="292" t="s">
        <v>285</v>
      </c>
      <c r="B67" s="309" t="s">
        <v>276</v>
      </c>
      <c r="C67" s="321" t="s">
        <v>280</v>
      </c>
      <c r="D67" s="308" t="s">
        <v>17</v>
      </c>
      <c r="E67" s="309">
        <v>9</v>
      </c>
      <c r="F67" s="323">
        <v>97.24</v>
      </c>
      <c r="G67" s="323">
        <f t="shared" ref="G67:G68" si="14">ROUNDDOWN(F67*(1+($H$13)),2)</f>
        <v>126.18</v>
      </c>
      <c r="H67" s="323"/>
      <c r="J67" s="283"/>
    </row>
    <row r="68" spans="1:10" ht="32.25" customHeight="1" x14ac:dyDescent="0.25">
      <c r="A68" s="292" t="s">
        <v>286</v>
      </c>
      <c r="B68" s="309" t="s">
        <v>277</v>
      </c>
      <c r="C68" s="321" t="s">
        <v>278</v>
      </c>
      <c r="D68" s="308" t="s">
        <v>17</v>
      </c>
      <c r="E68" s="309">
        <f>E67*2</f>
        <v>18</v>
      </c>
      <c r="F68" s="323">
        <v>8.7200000000000006</v>
      </c>
      <c r="G68" s="323">
        <f t="shared" si="14"/>
        <v>11.31</v>
      </c>
      <c r="H68" s="323"/>
      <c r="J68" s="283"/>
    </row>
    <row r="69" spans="1:10" ht="15" customHeight="1" x14ac:dyDescent="0.25">
      <c r="A69" s="292"/>
      <c r="B69" s="298"/>
      <c r="C69" s="299"/>
      <c r="D69" s="300"/>
      <c r="E69" s="298"/>
      <c r="F69" s="301"/>
      <c r="G69" s="301"/>
      <c r="H69" s="301"/>
      <c r="J69" s="283"/>
    </row>
    <row r="70" spans="1:10" ht="11.25" customHeight="1" x14ac:dyDescent="0.25"/>
    <row r="71" spans="1:10" ht="15.75" customHeight="1" x14ac:dyDescent="0.3">
      <c r="A71" s="69"/>
      <c r="B71" s="70"/>
      <c r="C71" s="339" t="s">
        <v>101</v>
      </c>
      <c r="D71" s="340"/>
      <c r="E71" s="340"/>
      <c r="F71" s="286">
        <f>H13</f>
        <v>0.29770000000000002</v>
      </c>
      <c r="G71" s="66"/>
      <c r="H71" s="71">
        <f>SUM(H20:H69)</f>
        <v>32847.97</v>
      </c>
    </row>
    <row r="72" spans="1:10" x14ac:dyDescent="0.25">
      <c r="E72" t="s">
        <v>281</v>
      </c>
      <c r="G72" s="327">
        <f ca="1">TODAY()</f>
        <v>44123</v>
      </c>
    </row>
    <row r="74" spans="1:10" x14ac:dyDescent="0.25">
      <c r="D74" s="60"/>
      <c r="E74" s="60"/>
      <c r="F74" s="60"/>
      <c r="H74" s="290"/>
    </row>
    <row r="75" spans="1:10" x14ac:dyDescent="0.25">
      <c r="D75" s="60"/>
      <c r="E75" s="60"/>
      <c r="F75" s="60"/>
      <c r="H75" s="60"/>
    </row>
    <row r="76" spans="1:10" ht="21" customHeight="1" x14ac:dyDescent="0.3">
      <c r="C76" s="67"/>
      <c r="D76" s="67"/>
      <c r="E76" s="67"/>
      <c r="F76" s="67"/>
      <c r="G76" s="60"/>
      <c r="H76" s="60"/>
    </row>
    <row r="77" spans="1:10" ht="21" customHeight="1" x14ac:dyDescent="0.3">
      <c r="C77" s="302"/>
      <c r="D77" s="67"/>
      <c r="E77" s="303"/>
      <c r="F77" s="67"/>
      <c r="G77" s="61"/>
    </row>
    <row r="78" spans="1:10" ht="18.75" x14ac:dyDescent="0.3">
      <c r="C78" s="303"/>
      <c r="D78" s="67"/>
      <c r="E78" s="67"/>
      <c r="F78" s="67"/>
      <c r="G78" s="61"/>
      <c r="H78" s="285"/>
    </row>
  </sheetData>
  <mergeCells count="13">
    <mergeCell ref="F19:G19"/>
    <mergeCell ref="F26:G26"/>
    <mergeCell ref="F56:G56"/>
    <mergeCell ref="C71:E71"/>
    <mergeCell ref="A11:E11"/>
    <mergeCell ref="C15:F15"/>
    <mergeCell ref="G15:H15"/>
    <mergeCell ref="A16:A17"/>
    <mergeCell ref="B16:B17"/>
    <mergeCell ref="C16:C17"/>
    <mergeCell ref="D16:D17"/>
    <mergeCell ref="E16:E17"/>
    <mergeCell ref="F16:H16"/>
  </mergeCells>
  <pageMargins left="0.51181102362204722" right="0.11811023622047245" top="0.39370078740157483" bottom="0.59055118110236227" header="0.51181102362204722" footer="0.51181102362204722"/>
  <pageSetup paperSize="9" scale="74" firstPageNumber="0" orientation="landscape" r:id="rId1"/>
  <headerFooter>
    <oddFooter>&amp;R&amp;P</oddFooter>
  </headerFooter>
  <rowBreaks count="2" manualBreakCount="2">
    <brk id="52" max="7" man="1"/>
    <brk id="72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78"/>
  <sheetViews>
    <sheetView view="pageBreakPreview" zoomScaleSheetLayoutView="100" workbookViewId="0">
      <pane ySplit="17" topLeftCell="A66" activePane="bottomLeft" state="frozen"/>
      <selection pane="bottomLeft" activeCell="C71" sqref="C71:E71"/>
    </sheetView>
  </sheetViews>
  <sheetFormatPr defaultRowHeight="15" x14ac:dyDescent="0.25"/>
  <cols>
    <col min="1" max="1" width="8.7109375" customWidth="1"/>
    <col min="2" max="2" width="10.28515625" customWidth="1"/>
    <col min="3" max="3" width="64.7109375" customWidth="1"/>
    <col min="4" max="4" width="7.85546875" customWidth="1"/>
    <col min="5" max="5" width="10.28515625" customWidth="1"/>
    <col min="6" max="6" width="13.28515625" customWidth="1"/>
    <col min="7" max="7" width="16.42578125" customWidth="1"/>
    <col min="8" max="8" width="19.42578125" customWidth="1"/>
    <col min="9" max="9" width="29.140625" customWidth="1"/>
    <col min="10" max="10" width="15.28515625" customWidth="1"/>
    <col min="11" max="1026" width="8.7109375" customWidth="1"/>
  </cols>
  <sheetData>
    <row r="8" spans="1:8" ht="7.5" customHeight="1" x14ac:dyDescent="0.25"/>
    <row r="9" spans="1:8" x14ac:dyDescent="0.25">
      <c r="A9" t="s">
        <v>221</v>
      </c>
    </row>
    <row r="10" spans="1:8" ht="3.75" customHeight="1" x14ac:dyDescent="0.25"/>
    <row r="11" spans="1:8" ht="14.25" customHeight="1" x14ac:dyDescent="0.25">
      <c r="A11" s="341" t="s">
        <v>222</v>
      </c>
      <c r="B11" s="341"/>
      <c r="C11" s="341"/>
      <c r="D11" s="341"/>
      <c r="E11" s="341"/>
    </row>
    <row r="12" spans="1:8" ht="3" customHeight="1" x14ac:dyDescent="0.25"/>
    <row r="13" spans="1:8" x14ac:dyDescent="0.25">
      <c r="A13" t="s">
        <v>2</v>
      </c>
      <c r="G13" s="63" t="s">
        <v>109</v>
      </c>
      <c r="H13" s="288">
        <v>0.29770000000000002</v>
      </c>
    </row>
    <row r="14" spans="1:8" ht="5.25" customHeight="1" x14ac:dyDescent="0.25">
      <c r="G14" s="64"/>
      <c r="H14" s="64"/>
    </row>
    <row r="15" spans="1:8" x14ac:dyDescent="0.25">
      <c r="A15" s="65" t="s">
        <v>225</v>
      </c>
      <c r="C15" s="342" t="s">
        <v>226</v>
      </c>
      <c r="D15" s="342"/>
      <c r="E15" s="342"/>
      <c r="F15" s="342"/>
      <c r="G15" s="343"/>
      <c r="H15" s="343"/>
    </row>
    <row r="16" spans="1:8" ht="15.75" x14ac:dyDescent="0.25">
      <c r="A16" s="332" t="s">
        <v>4</v>
      </c>
      <c r="B16" s="334" t="s">
        <v>187</v>
      </c>
      <c r="C16" s="332" t="s">
        <v>7</v>
      </c>
      <c r="D16" s="332" t="s">
        <v>9</v>
      </c>
      <c r="E16" s="332" t="s">
        <v>8</v>
      </c>
      <c r="F16" s="332" t="s">
        <v>10</v>
      </c>
      <c r="G16" s="332"/>
      <c r="H16" s="332"/>
    </row>
    <row r="17" spans="1:10" ht="15.75" x14ac:dyDescent="0.25">
      <c r="A17" s="332"/>
      <c r="B17" s="334"/>
      <c r="C17" s="332"/>
      <c r="D17" s="332"/>
      <c r="E17" s="332"/>
      <c r="F17" s="289" t="s">
        <v>213</v>
      </c>
      <c r="G17" s="289" t="s">
        <v>214</v>
      </c>
      <c r="H17" s="289" t="s">
        <v>12</v>
      </c>
      <c r="I17" s="291"/>
    </row>
    <row r="18" spans="1:10" ht="19.5" customHeight="1" x14ac:dyDescent="0.25">
      <c r="A18" s="292"/>
      <c r="B18" s="293"/>
      <c r="C18" s="344" t="s">
        <v>217</v>
      </c>
      <c r="D18" s="344"/>
      <c r="E18" s="344"/>
      <c r="F18" s="294"/>
      <c r="G18" s="295"/>
      <c r="H18" s="154"/>
    </row>
    <row r="19" spans="1:10" ht="18" customHeight="1" x14ac:dyDescent="0.25">
      <c r="A19" s="312" t="s">
        <v>127</v>
      </c>
      <c r="B19" s="313"/>
      <c r="C19" s="314" t="s">
        <v>236</v>
      </c>
      <c r="D19" s="314"/>
      <c r="E19" s="314"/>
      <c r="F19" s="335">
        <f>SUM(H20:H24)</f>
        <v>12091.15</v>
      </c>
      <c r="G19" s="336"/>
    </row>
    <row r="20" spans="1:10" ht="31.5" customHeight="1" x14ac:dyDescent="0.25">
      <c r="A20" s="305" t="s">
        <v>230</v>
      </c>
      <c r="B20" s="306" t="s">
        <v>227</v>
      </c>
      <c r="C20" s="307" t="s">
        <v>244</v>
      </c>
      <c r="D20" s="308" t="s">
        <v>17</v>
      </c>
      <c r="E20" s="309">
        <f>91.98*2</f>
        <v>183.96</v>
      </c>
      <c r="F20" s="310">
        <v>22.43</v>
      </c>
      <c r="G20" s="310">
        <f>ROUNDDOWN(F20*(1+($H$13)),2)</f>
        <v>29.1</v>
      </c>
      <c r="H20" s="310">
        <f>ROUNDDOWN(E20*G20,2)</f>
        <v>5353.23</v>
      </c>
    </row>
    <row r="21" spans="1:10" ht="19.5" customHeight="1" x14ac:dyDescent="0.25">
      <c r="A21" s="305" t="s">
        <v>231</v>
      </c>
      <c r="B21" s="309" t="s">
        <v>228</v>
      </c>
      <c r="C21" s="307" t="s">
        <v>229</v>
      </c>
      <c r="D21" s="308" t="s">
        <v>17</v>
      </c>
      <c r="E21" s="309">
        <v>60</v>
      </c>
      <c r="F21" s="310">
        <v>20.67</v>
      </c>
      <c r="G21" s="310">
        <f t="shared" ref="G21" si="0">ROUNDDOWN(F21*(1+($H$13)),2)</f>
        <v>26.82</v>
      </c>
      <c r="H21" s="310">
        <f t="shared" ref="H21" si="1">ROUNDDOWN(E21*G21,2)</f>
        <v>1609.2</v>
      </c>
    </row>
    <row r="22" spans="1:10" ht="31.5" x14ac:dyDescent="0.25">
      <c r="A22" s="305" t="s">
        <v>232</v>
      </c>
      <c r="B22" s="309" t="s">
        <v>228</v>
      </c>
      <c r="C22" s="311" t="s">
        <v>245</v>
      </c>
      <c r="D22" s="308" t="s">
        <v>17</v>
      </c>
      <c r="E22" s="309">
        <f>91.98*1</f>
        <v>91.98</v>
      </c>
      <c r="F22" s="310">
        <v>20.67</v>
      </c>
      <c r="G22" s="310">
        <f t="shared" ref="G22:G24" si="2">ROUNDDOWN(F22*(1+($H$13)),2)</f>
        <v>26.82</v>
      </c>
      <c r="H22" s="310">
        <f t="shared" ref="H22:H24" si="3">ROUNDDOWN(E22*G22,2)</f>
        <v>2466.9</v>
      </c>
      <c r="J22" s="283"/>
    </row>
    <row r="23" spans="1:10" ht="28.5" customHeight="1" x14ac:dyDescent="0.25">
      <c r="A23" s="305" t="s">
        <v>233</v>
      </c>
      <c r="B23" s="309" t="s">
        <v>237</v>
      </c>
      <c r="C23" s="322" t="s">
        <v>238</v>
      </c>
      <c r="D23" s="308" t="s">
        <v>17</v>
      </c>
      <c r="E23" s="309">
        <f>SUM(E20:E22)*0.5</f>
        <v>167.97</v>
      </c>
      <c r="F23" s="310">
        <v>3.81</v>
      </c>
      <c r="G23" s="310">
        <f t="shared" si="2"/>
        <v>4.9400000000000004</v>
      </c>
      <c r="H23" s="310">
        <f t="shared" si="3"/>
        <v>829.77</v>
      </c>
      <c r="J23" s="283"/>
    </row>
    <row r="24" spans="1:10" ht="35.25" customHeight="1" x14ac:dyDescent="0.25">
      <c r="A24" s="305" t="s">
        <v>212</v>
      </c>
      <c r="B24" s="309" t="s">
        <v>234</v>
      </c>
      <c r="C24" s="322" t="s">
        <v>235</v>
      </c>
      <c r="D24" s="308" t="s">
        <v>219</v>
      </c>
      <c r="E24" s="309">
        <v>5</v>
      </c>
      <c r="F24" s="323">
        <v>282.36</v>
      </c>
      <c r="G24" s="323">
        <f t="shared" si="2"/>
        <v>366.41</v>
      </c>
      <c r="H24" s="323">
        <f t="shared" si="3"/>
        <v>1832.05</v>
      </c>
      <c r="J24" s="283"/>
    </row>
    <row r="25" spans="1:10" ht="5.0999999999999996" customHeight="1" x14ac:dyDescent="0.25">
      <c r="A25" s="316"/>
      <c r="B25" s="317"/>
      <c r="C25" s="320"/>
      <c r="D25" s="318"/>
      <c r="E25" s="317"/>
      <c r="F25" s="319"/>
      <c r="G25" s="319"/>
      <c r="H25" s="319"/>
      <c r="J25" s="283"/>
    </row>
    <row r="26" spans="1:10" ht="15" customHeight="1" x14ac:dyDescent="0.25">
      <c r="A26" s="312" t="s">
        <v>130</v>
      </c>
      <c r="B26" s="313"/>
      <c r="C26" s="314" t="s">
        <v>239</v>
      </c>
      <c r="D26" s="314"/>
      <c r="E26" s="314"/>
      <c r="F26" s="337">
        <f>SUM(H27:H30)</f>
        <v>2170.37</v>
      </c>
      <c r="G26" s="338"/>
      <c r="J26" s="283"/>
    </row>
    <row r="27" spans="1:10" ht="29.25" customHeight="1" x14ac:dyDescent="0.25">
      <c r="A27" s="305" t="s">
        <v>240</v>
      </c>
      <c r="B27" s="309" t="s">
        <v>218</v>
      </c>
      <c r="C27" s="321" t="s">
        <v>220</v>
      </c>
      <c r="D27" s="308" t="s">
        <v>17</v>
      </c>
      <c r="E27" s="309">
        <v>22.7</v>
      </c>
      <c r="F27" s="310">
        <v>13.75</v>
      </c>
      <c r="G27" s="310">
        <f>ROUNDDOWN(F27*(1+($H$13)),2)</f>
        <v>17.84</v>
      </c>
      <c r="H27" s="310">
        <f>ROUNDDOWN(E27*G27,2)</f>
        <v>404.96</v>
      </c>
      <c r="J27" s="283"/>
    </row>
    <row r="28" spans="1:10" ht="29.25" customHeight="1" x14ac:dyDescent="0.25">
      <c r="A28" s="305" t="s">
        <v>241</v>
      </c>
      <c r="B28" s="306" t="s">
        <v>227</v>
      </c>
      <c r="C28" s="307" t="s">
        <v>244</v>
      </c>
      <c r="D28" s="308" t="s">
        <v>17</v>
      </c>
      <c r="E28" s="309">
        <f>19.1*2</f>
        <v>38.200000000000003</v>
      </c>
      <c r="F28" s="310">
        <v>22.43</v>
      </c>
      <c r="G28" s="310">
        <f>ROUNDDOWN(F28*(1+($H$13)),2)</f>
        <v>29.1</v>
      </c>
      <c r="H28" s="310">
        <f>ROUNDDOWN(E28*G28,2)</f>
        <v>1111.6199999999999</v>
      </c>
      <c r="J28" s="283"/>
    </row>
    <row r="29" spans="1:10" ht="28.5" customHeight="1" x14ac:dyDescent="0.25">
      <c r="A29" s="305" t="s">
        <v>242</v>
      </c>
      <c r="B29" s="309" t="s">
        <v>228</v>
      </c>
      <c r="C29" s="307" t="s">
        <v>245</v>
      </c>
      <c r="D29" s="308" t="s">
        <v>17</v>
      </c>
      <c r="E29" s="309">
        <f>19.1*1</f>
        <v>19.100000000000001</v>
      </c>
      <c r="F29" s="310">
        <v>20.67</v>
      </c>
      <c r="G29" s="310">
        <f t="shared" ref="G29:G30" si="4">ROUNDDOWN(F29*(1+($H$13)),2)</f>
        <v>26.82</v>
      </c>
      <c r="H29" s="310">
        <f t="shared" ref="H29:H30" si="5">ROUNDDOWN(E29*G29,2)</f>
        <v>512.26</v>
      </c>
      <c r="J29" s="283"/>
    </row>
    <row r="30" spans="1:10" ht="30" customHeight="1" x14ac:dyDescent="0.25">
      <c r="A30" s="305" t="s">
        <v>243</v>
      </c>
      <c r="B30" s="309" t="s">
        <v>237</v>
      </c>
      <c r="C30" s="322" t="s">
        <v>238</v>
      </c>
      <c r="D30" s="308" t="s">
        <v>17</v>
      </c>
      <c r="E30" s="309">
        <f>SUM(E28:E29)*0.5</f>
        <v>28.650000000000002</v>
      </c>
      <c r="F30" s="310">
        <v>3.81</v>
      </c>
      <c r="G30" s="310">
        <f t="shared" si="4"/>
        <v>4.9400000000000004</v>
      </c>
      <c r="H30" s="310">
        <f t="shared" si="5"/>
        <v>141.53</v>
      </c>
      <c r="J30" s="283"/>
    </row>
    <row r="31" spans="1:10" ht="5.0999999999999996" customHeight="1" x14ac:dyDescent="0.25">
      <c r="A31" s="305"/>
      <c r="B31" s="309"/>
      <c r="C31" s="311"/>
      <c r="D31" s="308"/>
      <c r="E31" s="309"/>
      <c r="F31" s="310"/>
      <c r="G31" s="310"/>
      <c r="H31" s="310"/>
      <c r="J31" s="283"/>
    </row>
    <row r="32" spans="1:10" ht="15" customHeight="1" x14ac:dyDescent="0.25">
      <c r="A32" s="312" t="s">
        <v>132</v>
      </c>
      <c r="B32" s="313"/>
      <c r="C32" s="314" t="s">
        <v>246</v>
      </c>
      <c r="D32" s="314"/>
      <c r="E32" s="314"/>
      <c r="F32" s="315"/>
      <c r="G32" s="324">
        <f>SUM(H33:H38)</f>
        <v>7075.0099999999993</v>
      </c>
      <c r="J32" s="283"/>
    </row>
    <row r="33" spans="1:10" ht="31.5" customHeight="1" x14ac:dyDescent="0.25">
      <c r="A33" s="305" t="s">
        <v>247</v>
      </c>
      <c r="B33" s="309" t="s">
        <v>218</v>
      </c>
      <c r="C33" s="321" t="s">
        <v>220</v>
      </c>
      <c r="D33" s="308" t="s">
        <v>17</v>
      </c>
      <c r="E33" s="309">
        <v>20.14</v>
      </c>
      <c r="F33" s="310">
        <v>13.75</v>
      </c>
      <c r="G33" s="310">
        <f>ROUNDDOWN(F33*(1+($H$13)),2)</f>
        <v>17.84</v>
      </c>
      <c r="H33" s="310">
        <f>ROUNDDOWN(E33*G33,2)</f>
        <v>359.29</v>
      </c>
      <c r="J33" s="283"/>
    </row>
    <row r="34" spans="1:10" ht="31.5" customHeight="1" x14ac:dyDescent="0.25">
      <c r="A34" s="305" t="s">
        <v>248</v>
      </c>
      <c r="B34" s="309" t="s">
        <v>228</v>
      </c>
      <c r="C34" s="307" t="s">
        <v>229</v>
      </c>
      <c r="D34" s="308" t="s">
        <v>17</v>
      </c>
      <c r="E34" s="309">
        <v>20.14</v>
      </c>
      <c r="F34" s="310">
        <v>20.67</v>
      </c>
      <c r="G34" s="310">
        <f t="shared" ref="G34" si="6">ROUNDDOWN(F34*(1+($H$13)),2)</f>
        <v>26.82</v>
      </c>
      <c r="H34" s="310">
        <f t="shared" ref="H34" si="7">ROUNDDOWN(E34*G34,2)</f>
        <v>540.15</v>
      </c>
      <c r="J34" s="283"/>
    </row>
    <row r="35" spans="1:10" ht="31.5" customHeight="1" x14ac:dyDescent="0.25">
      <c r="A35" s="305" t="s">
        <v>255</v>
      </c>
      <c r="B35" s="309" t="s">
        <v>250</v>
      </c>
      <c r="C35" s="321" t="s">
        <v>249</v>
      </c>
      <c r="D35" s="308" t="s">
        <v>22</v>
      </c>
      <c r="E35" s="309">
        <f>(5.06*2+3.98*2)*3*0.05*1.5</f>
        <v>4.0679999999999996</v>
      </c>
      <c r="F35" s="310">
        <v>8.39</v>
      </c>
      <c r="G35" s="310">
        <f t="shared" ref="G35" si="8">ROUNDDOWN(F35*(1+($H$13)),2)</f>
        <v>10.88</v>
      </c>
      <c r="H35" s="310">
        <f t="shared" ref="H35" si="9">ROUNDDOWN(E35*G35,2)</f>
        <v>44.25</v>
      </c>
      <c r="J35" s="283"/>
    </row>
    <row r="36" spans="1:10" ht="31.5" customHeight="1" x14ac:dyDescent="0.25">
      <c r="A36" s="305" t="s">
        <v>256</v>
      </c>
      <c r="B36" s="309" t="s">
        <v>251</v>
      </c>
      <c r="C36" s="321" t="s">
        <v>252</v>
      </c>
      <c r="D36" s="308" t="s">
        <v>22</v>
      </c>
      <c r="E36" s="309">
        <f>(5.06*2+3.98*2-1.2*2.1)*3*0.02</f>
        <v>0.93359999999999987</v>
      </c>
      <c r="F36" s="310">
        <v>506.03</v>
      </c>
      <c r="G36" s="310">
        <f t="shared" ref="G36" si="10">ROUNDDOWN(F36*(1+($H$13)),2)</f>
        <v>656.67</v>
      </c>
      <c r="H36" s="310">
        <f t="shared" ref="H36" si="11">ROUNDDOWN(E36*G36,2)</f>
        <v>613.05999999999995</v>
      </c>
      <c r="J36" s="283"/>
    </row>
    <row r="37" spans="1:10" ht="49.5" customHeight="1" x14ac:dyDescent="0.25">
      <c r="A37" s="305" t="s">
        <v>257</v>
      </c>
      <c r="B37" s="309" t="s">
        <v>254</v>
      </c>
      <c r="C37" s="321" t="s">
        <v>253</v>
      </c>
      <c r="D37" s="308" t="s">
        <v>17</v>
      </c>
      <c r="E37" s="309">
        <f>(5.06*2+3.98*2)*3-(1.5*2.1+1.2*1)</f>
        <v>49.889999999999993</v>
      </c>
      <c r="F37" s="310">
        <v>73.92</v>
      </c>
      <c r="G37" s="310">
        <f t="shared" ref="G37" si="12">ROUNDDOWN(F37*(1+($H$13)),2)</f>
        <v>95.92</v>
      </c>
      <c r="H37" s="310">
        <f t="shared" ref="H37" si="13">ROUNDDOWN(E37*G37,2)</f>
        <v>4785.4399999999996</v>
      </c>
      <c r="J37" s="283"/>
    </row>
    <row r="38" spans="1:10" ht="31.5" customHeight="1" x14ac:dyDescent="0.25">
      <c r="A38" s="305" t="s">
        <v>258</v>
      </c>
      <c r="B38" s="309" t="s">
        <v>234</v>
      </c>
      <c r="C38" s="322" t="s">
        <v>235</v>
      </c>
      <c r="D38" s="308" t="s">
        <v>219</v>
      </c>
      <c r="E38" s="309">
        <v>2</v>
      </c>
      <c r="F38" s="323">
        <v>282.36</v>
      </c>
      <c r="G38" s="323">
        <f t="shared" ref="G38" si="14">ROUNDDOWN(F38*(1+($H$13)),2)</f>
        <v>366.41</v>
      </c>
      <c r="H38" s="323">
        <f t="shared" ref="H38" si="15">ROUNDDOWN(E38*G38,2)</f>
        <v>732.82</v>
      </c>
      <c r="J38" s="283"/>
    </row>
    <row r="39" spans="1:10" ht="5.0999999999999996" customHeight="1" x14ac:dyDescent="0.25">
      <c r="A39" s="292"/>
      <c r="B39" s="298"/>
      <c r="C39" s="299"/>
      <c r="D39" s="300"/>
      <c r="E39" s="298"/>
      <c r="F39" s="301"/>
      <c r="G39" s="301"/>
      <c r="H39" s="301"/>
      <c r="J39" s="283"/>
    </row>
    <row r="40" spans="1:10" ht="15" customHeight="1" x14ac:dyDescent="0.25">
      <c r="A40" s="296" t="s">
        <v>134</v>
      </c>
      <c r="B40" s="293"/>
      <c r="C40" s="326" t="s">
        <v>259</v>
      </c>
      <c r="D40" s="297"/>
      <c r="E40" s="297"/>
      <c r="F40" s="294"/>
      <c r="G40" s="325">
        <f>SUM(H41:H46)</f>
        <v>4958.08</v>
      </c>
      <c r="J40" s="283"/>
    </row>
    <row r="41" spans="1:10" ht="33" customHeight="1" x14ac:dyDescent="0.25">
      <c r="A41" s="292" t="s">
        <v>260</v>
      </c>
      <c r="B41" s="298" t="s">
        <v>218</v>
      </c>
      <c r="C41" s="299" t="s">
        <v>220</v>
      </c>
      <c r="D41" s="300" t="s">
        <v>215</v>
      </c>
      <c r="E41" s="298">
        <v>9.7100000000000009</v>
      </c>
      <c r="F41" s="301">
        <v>13.75</v>
      </c>
      <c r="G41" s="301">
        <f>ROUNDDOWN(F41*(1+($H$13)),2)</f>
        <v>17.84</v>
      </c>
      <c r="H41" s="301">
        <f>ROUNDDOWN(E41*G41,2)</f>
        <v>173.22</v>
      </c>
      <c r="J41" s="283"/>
    </row>
    <row r="42" spans="1:10" ht="15" customHeight="1" x14ac:dyDescent="0.25">
      <c r="A42" s="292" t="s">
        <v>261</v>
      </c>
      <c r="B42" s="309" t="s">
        <v>228</v>
      </c>
      <c r="C42" s="307" t="s">
        <v>229</v>
      </c>
      <c r="D42" s="308" t="s">
        <v>17</v>
      </c>
      <c r="E42" s="309">
        <v>9.7100000000000009</v>
      </c>
      <c r="F42" s="310">
        <v>20.67</v>
      </c>
      <c r="G42" s="310">
        <f t="shared" ref="G42:G46" si="16">ROUNDDOWN(F42*(1+($H$13)),2)</f>
        <v>26.82</v>
      </c>
      <c r="H42" s="310">
        <f t="shared" ref="H42:H46" si="17">ROUNDDOWN(E42*G42,2)</f>
        <v>260.42</v>
      </c>
      <c r="J42" s="283"/>
    </row>
    <row r="43" spans="1:10" ht="19.5" customHeight="1" x14ac:dyDescent="0.25">
      <c r="A43" s="292" t="s">
        <v>262</v>
      </c>
      <c r="B43" s="298" t="s">
        <v>250</v>
      </c>
      <c r="C43" s="299" t="s">
        <v>249</v>
      </c>
      <c r="D43" s="308" t="s">
        <v>216</v>
      </c>
      <c r="E43" s="309">
        <f>(2.44*2+3.98*2)*3*0.05*1.5</f>
        <v>2.8889999999999998</v>
      </c>
      <c r="F43" s="310">
        <v>8.39</v>
      </c>
      <c r="G43" s="310">
        <f t="shared" si="16"/>
        <v>10.88</v>
      </c>
      <c r="H43" s="310">
        <f t="shared" si="17"/>
        <v>31.43</v>
      </c>
      <c r="J43" s="283"/>
    </row>
    <row r="44" spans="1:10" ht="15" customHeight="1" x14ac:dyDescent="0.25">
      <c r="A44" s="292" t="s">
        <v>263</v>
      </c>
      <c r="B44" s="298" t="s">
        <v>251</v>
      </c>
      <c r="C44" s="299" t="s">
        <v>252</v>
      </c>
      <c r="D44" s="308" t="s">
        <v>216</v>
      </c>
      <c r="E44" s="309">
        <f>(5.06*2+3.98*2-1.2*2.1)*3*0.02</f>
        <v>0.93359999999999987</v>
      </c>
      <c r="F44" s="310">
        <v>506.03</v>
      </c>
      <c r="G44" s="310">
        <f t="shared" si="16"/>
        <v>656.67</v>
      </c>
      <c r="H44" s="310">
        <f t="shared" si="17"/>
        <v>613.05999999999995</v>
      </c>
      <c r="J44" s="283"/>
    </row>
    <row r="45" spans="1:10" ht="50.25" customHeight="1" x14ac:dyDescent="0.25">
      <c r="A45" s="292" t="s">
        <v>264</v>
      </c>
      <c r="B45" s="298" t="s">
        <v>254</v>
      </c>
      <c r="C45" s="299" t="s">
        <v>253</v>
      </c>
      <c r="D45" s="300" t="s">
        <v>215</v>
      </c>
      <c r="E45" s="309">
        <f>(2.44*2+3.98*2)*3-(0.9*2.1)</f>
        <v>36.629999999999995</v>
      </c>
      <c r="F45" s="310">
        <v>73.92</v>
      </c>
      <c r="G45" s="310">
        <f t="shared" si="16"/>
        <v>95.92</v>
      </c>
      <c r="H45" s="310">
        <f t="shared" si="17"/>
        <v>3513.54</v>
      </c>
      <c r="J45" s="283"/>
    </row>
    <row r="46" spans="1:10" ht="34.5" customHeight="1" x14ac:dyDescent="0.25">
      <c r="A46" s="292" t="s">
        <v>265</v>
      </c>
      <c r="B46" s="309" t="s">
        <v>234</v>
      </c>
      <c r="C46" s="322" t="s">
        <v>235</v>
      </c>
      <c r="D46" s="308" t="s">
        <v>219</v>
      </c>
      <c r="E46" s="309">
        <v>1</v>
      </c>
      <c r="F46" s="323">
        <v>282.36</v>
      </c>
      <c r="G46" s="323">
        <f t="shared" si="16"/>
        <v>366.41</v>
      </c>
      <c r="H46" s="323">
        <f t="shared" si="17"/>
        <v>366.41</v>
      </c>
      <c r="J46" s="283"/>
    </row>
    <row r="47" spans="1:10" ht="5.0999999999999996" customHeight="1" x14ac:dyDescent="0.25">
      <c r="A47" s="292"/>
      <c r="B47" s="298"/>
      <c r="C47" s="299"/>
      <c r="D47" s="300"/>
      <c r="E47" s="298"/>
      <c r="F47" s="301"/>
      <c r="G47" s="301"/>
      <c r="H47" s="301"/>
      <c r="J47" s="283"/>
    </row>
    <row r="48" spans="1:10" ht="15" customHeight="1" x14ac:dyDescent="0.25">
      <c r="A48" s="296" t="s">
        <v>223</v>
      </c>
      <c r="B48" s="293"/>
      <c r="C48" s="326" t="s">
        <v>266</v>
      </c>
      <c r="D48" s="297"/>
      <c r="E48" s="297"/>
      <c r="F48" s="294"/>
      <c r="G48" s="325">
        <f>SUM(H49:H54)</f>
        <v>9086.3799999999992</v>
      </c>
      <c r="J48" s="283"/>
    </row>
    <row r="49" spans="1:10" ht="15" customHeight="1" x14ac:dyDescent="0.25">
      <c r="A49" s="292" t="s">
        <v>267</v>
      </c>
      <c r="B49" s="298" t="s">
        <v>218</v>
      </c>
      <c r="C49" s="299" t="s">
        <v>220</v>
      </c>
      <c r="D49" s="300" t="s">
        <v>215</v>
      </c>
      <c r="E49" s="298">
        <v>20.63</v>
      </c>
      <c r="F49" s="301">
        <v>13.75</v>
      </c>
      <c r="G49" s="301">
        <f>ROUNDDOWN(F49*(1+($H$13)),2)</f>
        <v>17.84</v>
      </c>
      <c r="H49" s="301">
        <f>ROUNDDOWN(E49*G49,2)</f>
        <v>368.03</v>
      </c>
      <c r="J49" s="283"/>
    </row>
    <row r="50" spans="1:10" ht="15" customHeight="1" x14ac:dyDescent="0.25">
      <c r="A50" s="292" t="s">
        <v>268</v>
      </c>
      <c r="B50" s="309" t="s">
        <v>228</v>
      </c>
      <c r="C50" s="307" t="s">
        <v>229</v>
      </c>
      <c r="D50" s="308" t="s">
        <v>17</v>
      </c>
      <c r="E50" s="309">
        <f>E49</f>
        <v>20.63</v>
      </c>
      <c r="F50" s="310">
        <v>20.67</v>
      </c>
      <c r="G50" s="310">
        <f t="shared" ref="G50:G52" si="18">ROUNDDOWN(F50*(1+($H$13)),2)</f>
        <v>26.82</v>
      </c>
      <c r="H50" s="310">
        <f t="shared" ref="H50:H52" si="19">ROUNDDOWN(E50*G50,2)</f>
        <v>553.29</v>
      </c>
      <c r="J50" s="283"/>
    </row>
    <row r="51" spans="1:10" ht="15" customHeight="1" x14ac:dyDescent="0.25">
      <c r="A51" s="292" t="s">
        <v>269</v>
      </c>
      <c r="B51" s="298" t="s">
        <v>250</v>
      </c>
      <c r="C51" s="299" t="s">
        <v>249</v>
      </c>
      <c r="D51" s="308" t="s">
        <v>216</v>
      </c>
      <c r="E51" s="309">
        <f>(3.7*2+8*2)*3*0.05*1.5</f>
        <v>5.2649999999999997</v>
      </c>
      <c r="F51" s="310">
        <v>8.39</v>
      </c>
      <c r="G51" s="310">
        <f t="shared" si="18"/>
        <v>10.88</v>
      </c>
      <c r="H51" s="310">
        <f t="shared" si="19"/>
        <v>57.28</v>
      </c>
      <c r="J51" s="283"/>
    </row>
    <row r="52" spans="1:10" ht="15" customHeight="1" x14ac:dyDescent="0.25">
      <c r="A52" s="292" t="s">
        <v>270</v>
      </c>
      <c r="B52" s="298" t="s">
        <v>251</v>
      </c>
      <c r="C52" s="299" t="s">
        <v>252</v>
      </c>
      <c r="D52" s="308" t="s">
        <v>216</v>
      </c>
      <c r="E52" s="309">
        <f>(3.7*2+8*2-1.2*2.1)*3*0.02</f>
        <v>1.2528000000000001</v>
      </c>
      <c r="F52" s="310">
        <v>506.03</v>
      </c>
      <c r="G52" s="310">
        <f t="shared" si="18"/>
        <v>656.67</v>
      </c>
      <c r="H52" s="310">
        <f t="shared" si="19"/>
        <v>822.67</v>
      </c>
      <c r="J52" s="283"/>
    </row>
    <row r="53" spans="1:10" ht="48.75" customHeight="1" x14ac:dyDescent="0.25">
      <c r="A53" s="292" t="s">
        <v>271</v>
      </c>
      <c r="B53" s="298" t="s">
        <v>254</v>
      </c>
      <c r="C53" s="299" t="s">
        <v>253</v>
      </c>
      <c r="D53" s="300" t="s">
        <v>215</v>
      </c>
      <c r="E53" s="309">
        <f>(3.7*2+8*2)*3-(0.9*2.1)</f>
        <v>68.309999999999988</v>
      </c>
      <c r="F53" s="310">
        <v>73.92</v>
      </c>
      <c r="G53" s="310">
        <f t="shared" ref="G53:G54" si="20">ROUNDDOWN(F53*(1+($H$13)),2)</f>
        <v>95.92</v>
      </c>
      <c r="H53" s="310">
        <f t="shared" ref="H53:H54" si="21">ROUNDDOWN(E53*G53,2)</f>
        <v>6552.29</v>
      </c>
      <c r="J53" s="283"/>
    </row>
    <row r="54" spans="1:10" ht="30.75" customHeight="1" x14ac:dyDescent="0.25">
      <c r="A54" s="292" t="s">
        <v>272</v>
      </c>
      <c r="B54" s="309" t="s">
        <v>234</v>
      </c>
      <c r="C54" s="322" t="s">
        <v>235</v>
      </c>
      <c r="D54" s="308" t="s">
        <v>219</v>
      </c>
      <c r="E54" s="309">
        <v>2</v>
      </c>
      <c r="F54" s="323">
        <v>282.36</v>
      </c>
      <c r="G54" s="323">
        <f t="shared" si="20"/>
        <v>366.41</v>
      </c>
      <c r="H54" s="323">
        <f t="shared" si="21"/>
        <v>732.82</v>
      </c>
      <c r="J54" s="283"/>
    </row>
    <row r="55" spans="1:10" ht="15" customHeight="1" x14ac:dyDescent="0.25">
      <c r="A55" s="292"/>
      <c r="B55" s="298"/>
      <c r="C55" s="299"/>
      <c r="D55" s="300"/>
      <c r="E55" s="298"/>
      <c r="F55" s="301"/>
      <c r="G55" s="301"/>
      <c r="H55" s="301"/>
      <c r="J55" s="283"/>
    </row>
    <row r="56" spans="1:10" ht="15" customHeight="1" x14ac:dyDescent="0.25">
      <c r="A56" s="312" t="s">
        <v>224</v>
      </c>
      <c r="B56" s="313"/>
      <c r="C56" s="314" t="s">
        <v>273</v>
      </c>
      <c r="D56" s="314"/>
      <c r="E56" s="314"/>
      <c r="F56" s="335">
        <f>SUM(H57:H61)</f>
        <v>4235.63</v>
      </c>
      <c r="G56" s="336"/>
      <c r="J56" s="283"/>
    </row>
    <row r="57" spans="1:10" ht="31.5" customHeight="1" x14ac:dyDescent="0.25">
      <c r="A57" s="305" t="s">
        <v>230</v>
      </c>
      <c r="B57" s="306" t="s">
        <v>227</v>
      </c>
      <c r="C57" s="307" t="s">
        <v>244</v>
      </c>
      <c r="D57" s="308" t="s">
        <v>17</v>
      </c>
      <c r="E57" s="309">
        <f>12.82*2*2</f>
        <v>51.28</v>
      </c>
      <c r="F57" s="310">
        <v>22.43</v>
      </c>
      <c r="G57" s="310">
        <f>ROUNDDOWN(F57*(1+($H$13)),2)</f>
        <v>29.1</v>
      </c>
      <c r="H57" s="310">
        <f>ROUNDDOWN(E57*G57,2)</f>
        <v>1492.24</v>
      </c>
      <c r="J57" s="283"/>
    </row>
    <row r="58" spans="1:10" ht="30.75" customHeight="1" x14ac:dyDescent="0.25">
      <c r="A58" s="305" t="s">
        <v>232</v>
      </c>
      <c r="B58" s="309" t="s">
        <v>228</v>
      </c>
      <c r="C58" s="311" t="s">
        <v>245</v>
      </c>
      <c r="D58" s="308" t="s">
        <v>17</v>
      </c>
      <c r="E58" s="309">
        <f>12.82*2*1</f>
        <v>25.64</v>
      </c>
      <c r="F58" s="310">
        <v>20.67</v>
      </c>
      <c r="G58" s="310">
        <f>ROUNDDOWN(F58*(1+($H$13)),2)</f>
        <v>26.82</v>
      </c>
      <c r="H58" s="310">
        <f>ROUNDDOWN(E58*G58,2)</f>
        <v>687.66</v>
      </c>
      <c r="J58" s="283"/>
    </row>
    <row r="59" spans="1:10" ht="20.25" customHeight="1" x14ac:dyDescent="0.25">
      <c r="A59" s="305" t="s">
        <v>231</v>
      </c>
      <c r="B59" s="309" t="s">
        <v>228</v>
      </c>
      <c r="C59" s="307" t="s">
        <v>229</v>
      </c>
      <c r="D59" s="308" t="s">
        <v>17</v>
      </c>
      <c r="E59" s="309">
        <v>26.17</v>
      </c>
      <c r="F59" s="310">
        <v>20.67</v>
      </c>
      <c r="G59" s="310">
        <f t="shared" ref="G59:G61" si="22">ROUNDDOWN(F59*(1+($H$13)),2)</f>
        <v>26.82</v>
      </c>
      <c r="H59" s="310">
        <f t="shared" ref="H59:H61" si="23">ROUNDDOWN(E59*G59,2)</f>
        <v>701.87</v>
      </c>
      <c r="J59" s="283"/>
    </row>
    <row r="60" spans="1:10" ht="34.5" customHeight="1" x14ac:dyDescent="0.25">
      <c r="A60" s="305" t="s">
        <v>233</v>
      </c>
      <c r="B60" s="309" t="s">
        <v>237</v>
      </c>
      <c r="C60" s="322" t="s">
        <v>238</v>
      </c>
      <c r="D60" s="308" t="s">
        <v>17</v>
      </c>
      <c r="E60" s="309">
        <f>SUM(E57:E59)*0.5</f>
        <v>51.545000000000002</v>
      </c>
      <c r="F60" s="310">
        <v>3.81</v>
      </c>
      <c r="G60" s="310">
        <f t="shared" si="22"/>
        <v>4.9400000000000004</v>
      </c>
      <c r="H60" s="310">
        <f t="shared" si="23"/>
        <v>254.63</v>
      </c>
      <c r="J60" s="283"/>
    </row>
    <row r="61" spans="1:10" ht="31.5" customHeight="1" x14ac:dyDescent="0.25">
      <c r="A61" s="305" t="s">
        <v>212</v>
      </c>
      <c r="B61" s="309" t="s">
        <v>234</v>
      </c>
      <c r="C61" s="322" t="s">
        <v>235</v>
      </c>
      <c r="D61" s="308" t="s">
        <v>219</v>
      </c>
      <c r="E61" s="309">
        <v>3</v>
      </c>
      <c r="F61" s="323">
        <v>282.36</v>
      </c>
      <c r="G61" s="323">
        <f t="shared" si="22"/>
        <v>366.41</v>
      </c>
      <c r="H61" s="323">
        <f t="shared" si="23"/>
        <v>1099.23</v>
      </c>
      <c r="J61" s="283"/>
    </row>
    <row r="62" spans="1:10" ht="15" customHeight="1" x14ac:dyDescent="0.25">
      <c r="A62" s="316"/>
      <c r="B62" s="317"/>
      <c r="C62" s="320"/>
      <c r="D62" s="318"/>
      <c r="E62" s="317"/>
      <c r="F62" s="319"/>
      <c r="G62" s="319"/>
      <c r="H62" s="323"/>
      <c r="J62" s="283"/>
    </row>
    <row r="63" spans="1:10" ht="15" customHeight="1" x14ac:dyDescent="0.25">
      <c r="A63" s="296" t="s">
        <v>274</v>
      </c>
      <c r="B63" s="293"/>
      <c r="C63" s="326" t="s">
        <v>275</v>
      </c>
      <c r="D63" s="297"/>
      <c r="E63" s="297"/>
      <c r="F63" s="294"/>
      <c r="G63" s="325">
        <f>SUM(H64:H68)</f>
        <v>2316.0999999999995</v>
      </c>
      <c r="J63" s="283"/>
    </row>
    <row r="64" spans="1:10" ht="37.5" customHeight="1" x14ac:dyDescent="0.25">
      <c r="A64" s="292" t="s">
        <v>282</v>
      </c>
      <c r="B64" s="298" t="s">
        <v>218</v>
      </c>
      <c r="C64" s="299" t="s">
        <v>220</v>
      </c>
      <c r="D64" s="300" t="s">
        <v>215</v>
      </c>
      <c r="E64" s="298">
        <v>20.63</v>
      </c>
      <c r="F64" s="301">
        <v>13.75</v>
      </c>
      <c r="G64" s="301">
        <f>ROUNDDOWN(F64*(1+($H$13)),2)</f>
        <v>17.84</v>
      </c>
      <c r="H64" s="301">
        <f>ROUNDDOWN(E64*G64,2)</f>
        <v>368.03</v>
      </c>
      <c r="J64" s="283"/>
    </row>
    <row r="65" spans="1:10" ht="30" customHeight="1" x14ac:dyDescent="0.25">
      <c r="A65" s="292" t="s">
        <v>283</v>
      </c>
      <c r="B65" s="309" t="s">
        <v>228</v>
      </c>
      <c r="C65" s="307" t="s">
        <v>229</v>
      </c>
      <c r="D65" s="308" t="s">
        <v>17</v>
      </c>
      <c r="E65" s="309">
        <v>6.21</v>
      </c>
      <c r="F65" s="310">
        <v>20.67</v>
      </c>
      <c r="G65" s="310">
        <f t="shared" ref="G65" si="24">ROUNDDOWN(F65*(1+($H$13)),2)</f>
        <v>26.82</v>
      </c>
      <c r="H65" s="310">
        <f t="shared" ref="H65" si="25">ROUNDDOWN(E65*G65,2)</f>
        <v>166.55</v>
      </c>
      <c r="J65" s="283"/>
    </row>
    <row r="66" spans="1:10" ht="30" customHeight="1" x14ac:dyDescent="0.25">
      <c r="A66" s="292" t="s">
        <v>284</v>
      </c>
      <c r="B66" s="306" t="s">
        <v>227</v>
      </c>
      <c r="C66" s="307" t="s">
        <v>279</v>
      </c>
      <c r="D66" s="308" t="s">
        <v>17</v>
      </c>
      <c r="E66" s="309">
        <f>1.6*2+2*2*3</f>
        <v>15.2</v>
      </c>
      <c r="F66" s="310">
        <v>22.43</v>
      </c>
      <c r="G66" s="310">
        <f>ROUNDDOWN(F66*(1+($H$13)),2)</f>
        <v>29.1</v>
      </c>
      <c r="H66" s="310">
        <f>ROUNDDOWN(E66*G66,2)</f>
        <v>442.32</v>
      </c>
      <c r="J66" s="283"/>
    </row>
    <row r="67" spans="1:10" ht="31.5" customHeight="1" x14ac:dyDescent="0.25">
      <c r="A67" s="292" t="s">
        <v>285</v>
      </c>
      <c r="B67" s="309" t="s">
        <v>276</v>
      </c>
      <c r="C67" s="321" t="s">
        <v>280</v>
      </c>
      <c r="D67" s="308" t="s">
        <v>17</v>
      </c>
      <c r="E67" s="309">
        <v>9</v>
      </c>
      <c r="F67" s="323">
        <v>97.24</v>
      </c>
      <c r="G67" s="323">
        <f t="shared" ref="G67" si="26">ROUNDDOWN(F67*(1+($H$13)),2)</f>
        <v>126.18</v>
      </c>
      <c r="H67" s="323">
        <f t="shared" ref="H67" si="27">ROUNDDOWN(E67*G67,2)</f>
        <v>1135.6199999999999</v>
      </c>
      <c r="J67" s="283"/>
    </row>
    <row r="68" spans="1:10" ht="32.25" customHeight="1" x14ac:dyDescent="0.25">
      <c r="A68" s="292" t="s">
        <v>286</v>
      </c>
      <c r="B68" s="309" t="s">
        <v>277</v>
      </c>
      <c r="C68" s="321" t="s">
        <v>278</v>
      </c>
      <c r="D68" s="308" t="s">
        <v>17</v>
      </c>
      <c r="E68" s="309">
        <f>E67*2</f>
        <v>18</v>
      </c>
      <c r="F68" s="323">
        <v>8.7200000000000006</v>
      </c>
      <c r="G68" s="323">
        <f t="shared" ref="G68" si="28">ROUNDDOWN(F68*(1+($H$13)),2)</f>
        <v>11.31</v>
      </c>
      <c r="H68" s="323">
        <f t="shared" ref="H68" si="29">ROUNDDOWN(E68*G68,2)</f>
        <v>203.58</v>
      </c>
      <c r="J68" s="283"/>
    </row>
    <row r="69" spans="1:10" ht="15" customHeight="1" x14ac:dyDescent="0.25">
      <c r="A69" s="292"/>
      <c r="B69" s="298"/>
      <c r="C69" s="299"/>
      <c r="D69" s="300"/>
      <c r="E69" s="298"/>
      <c r="F69" s="301"/>
      <c r="G69" s="301"/>
      <c r="H69" s="301"/>
      <c r="J69" s="283"/>
    </row>
    <row r="70" spans="1:10" ht="11.25" customHeight="1" x14ac:dyDescent="0.25"/>
    <row r="71" spans="1:10" ht="15.75" customHeight="1" x14ac:dyDescent="0.3">
      <c r="A71" s="69"/>
      <c r="B71" s="70"/>
      <c r="C71" s="339" t="s">
        <v>101</v>
      </c>
      <c r="D71" s="340"/>
      <c r="E71" s="340"/>
      <c r="F71" s="286">
        <f>H13</f>
        <v>0.29770000000000002</v>
      </c>
      <c r="G71" s="66"/>
      <c r="H71" s="71">
        <f>SUM(H20:H69)</f>
        <v>41932.720000000008</v>
      </c>
    </row>
    <row r="72" spans="1:10" x14ac:dyDescent="0.25">
      <c r="E72" t="s">
        <v>281</v>
      </c>
      <c r="G72" s="327">
        <f ca="1">TODAY()</f>
        <v>44123</v>
      </c>
    </row>
    <row r="74" spans="1:10" x14ac:dyDescent="0.25">
      <c r="D74" s="60"/>
      <c r="E74" s="60"/>
      <c r="F74" s="60"/>
      <c r="H74" s="290"/>
    </row>
    <row r="75" spans="1:10" x14ac:dyDescent="0.25">
      <c r="D75" s="60"/>
      <c r="E75" s="60"/>
      <c r="F75" s="60"/>
      <c r="H75" s="60"/>
    </row>
    <row r="76" spans="1:10" ht="21" customHeight="1" x14ac:dyDescent="0.3">
      <c r="C76" s="67"/>
      <c r="D76" s="67"/>
      <c r="E76" s="67"/>
      <c r="F76" s="67"/>
      <c r="G76" s="60"/>
      <c r="H76" s="60"/>
    </row>
    <row r="77" spans="1:10" ht="21" customHeight="1" x14ac:dyDescent="0.3">
      <c r="C77" s="302"/>
      <c r="D77" s="67"/>
      <c r="E77" s="303"/>
      <c r="F77" s="67"/>
      <c r="G77" s="61"/>
    </row>
    <row r="78" spans="1:10" ht="18.75" x14ac:dyDescent="0.3">
      <c r="C78" s="303"/>
      <c r="D78" s="67"/>
      <c r="E78" s="67"/>
      <c r="F78" s="67"/>
      <c r="G78" s="61"/>
      <c r="H78" s="285"/>
    </row>
  </sheetData>
  <mergeCells count="14">
    <mergeCell ref="A11:E11"/>
    <mergeCell ref="C71:E71"/>
    <mergeCell ref="C18:E18"/>
    <mergeCell ref="G15:H15"/>
    <mergeCell ref="F16:H16"/>
    <mergeCell ref="A16:A17"/>
    <mergeCell ref="B16:B17"/>
    <mergeCell ref="C16:C17"/>
    <mergeCell ref="D16:D17"/>
    <mergeCell ref="E16:E17"/>
    <mergeCell ref="C15:F15"/>
    <mergeCell ref="F19:G19"/>
    <mergeCell ref="F26:G26"/>
    <mergeCell ref="F56:G56"/>
  </mergeCells>
  <pageMargins left="0.51181102362204722" right="0.11811023622047245" top="0.39370078740157483" bottom="0.59055118110236227" header="0.51181102362204722" footer="0.51181102362204722"/>
  <pageSetup paperSize="9" scale="74" firstPageNumber="0" orientation="landscape" r:id="rId1"/>
  <headerFooter>
    <oddFooter>&amp;R&amp;P</oddFooter>
  </headerFooter>
  <rowBreaks count="2" manualBreakCount="2">
    <brk id="52" max="7" man="1"/>
    <brk id="72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39"/>
  <sheetViews>
    <sheetView view="pageBreakPreview" topLeftCell="A4" workbookViewId="0">
      <selection activeCell="J31" sqref="J31"/>
    </sheetView>
  </sheetViews>
  <sheetFormatPr defaultRowHeight="15" x14ac:dyDescent="0.25"/>
  <cols>
    <col min="1" max="1" width="4.85546875" customWidth="1"/>
    <col min="2" max="2" width="32.85546875" customWidth="1"/>
    <col min="3" max="3" width="12.28515625" customWidth="1"/>
    <col min="4" max="4" width="12.140625" customWidth="1"/>
    <col min="5" max="5" width="10.5703125" customWidth="1"/>
    <col min="6" max="6" width="12.42578125" customWidth="1"/>
    <col min="7" max="7" width="14.42578125" customWidth="1"/>
    <col min="8" max="8" width="3.85546875" customWidth="1"/>
    <col min="9" max="9" width="10.42578125" customWidth="1"/>
    <col min="10" max="1025" width="8.7109375" customWidth="1"/>
  </cols>
  <sheetData>
    <row r="9" spans="1:9" ht="18" x14ac:dyDescent="0.25">
      <c r="A9" s="355" t="s">
        <v>110</v>
      </c>
      <c r="B9" s="355"/>
      <c r="C9" s="355"/>
      <c r="D9" s="355"/>
      <c r="E9" s="355"/>
      <c r="F9" s="355"/>
      <c r="G9" s="355"/>
      <c r="H9" s="355"/>
      <c r="I9" s="355"/>
    </row>
    <row r="10" spans="1:9" ht="15" customHeight="1" x14ac:dyDescent="0.25">
      <c r="A10" s="356" t="s">
        <v>111</v>
      </c>
      <c r="B10" s="356"/>
      <c r="C10" s="356"/>
      <c r="D10" s="62"/>
      <c r="E10" s="62"/>
      <c r="F10" s="357" t="s">
        <v>112</v>
      </c>
      <c r="G10" s="357"/>
      <c r="H10" s="357"/>
      <c r="I10" s="73" t="s">
        <v>113</v>
      </c>
    </row>
    <row r="11" spans="1:9" ht="30.75" customHeight="1" x14ac:dyDescent="0.25">
      <c r="A11" s="356"/>
      <c r="B11" s="356"/>
      <c r="C11" s="356"/>
      <c r="D11" s="62"/>
      <c r="E11" s="62"/>
      <c r="F11" s="358" t="s">
        <v>114</v>
      </c>
      <c r="G11" s="358"/>
      <c r="H11" s="358"/>
      <c r="I11" s="74">
        <v>40969</v>
      </c>
    </row>
    <row r="13" spans="1:9" ht="15" customHeight="1" x14ac:dyDescent="0.25">
      <c r="A13" s="359" t="s">
        <v>115</v>
      </c>
      <c r="B13" s="359"/>
      <c r="C13" s="359"/>
      <c r="D13" s="359"/>
      <c r="E13" s="75"/>
      <c r="F13" s="345" t="s">
        <v>116</v>
      </c>
      <c r="G13" s="345"/>
      <c r="H13" s="345"/>
      <c r="I13" s="345"/>
    </row>
    <row r="14" spans="1:9" x14ac:dyDescent="0.25">
      <c r="A14" s="359"/>
      <c r="B14" s="359"/>
      <c r="C14" s="359"/>
      <c r="D14" s="359"/>
      <c r="E14" s="75"/>
      <c r="F14" s="360" t="s">
        <v>117</v>
      </c>
      <c r="G14" s="360"/>
      <c r="H14" s="360"/>
      <c r="I14" s="360"/>
    </row>
    <row r="15" spans="1:9" ht="29.25" customHeight="1" x14ac:dyDescent="0.25">
      <c r="F15" s="350" t="s">
        <v>118</v>
      </c>
      <c r="G15" s="350"/>
      <c r="H15" s="350"/>
      <c r="I15" s="350"/>
    </row>
    <row r="16" spans="1:9" ht="15" customHeight="1" x14ac:dyDescent="0.25">
      <c r="A16" s="73" t="s">
        <v>119</v>
      </c>
      <c r="B16" s="76" t="s">
        <v>120</v>
      </c>
      <c r="C16" s="77" t="s">
        <v>121</v>
      </c>
      <c r="D16" s="351" t="s">
        <v>122</v>
      </c>
      <c r="E16" s="351"/>
      <c r="F16" s="352"/>
      <c r="G16" s="352"/>
      <c r="H16" s="353" t="s">
        <v>123</v>
      </c>
      <c r="I16" s="353"/>
    </row>
    <row r="17" spans="1:9" ht="15" customHeight="1" x14ac:dyDescent="0.25">
      <c r="B17" s="79"/>
      <c r="C17" s="80"/>
      <c r="D17" s="81" t="s">
        <v>124</v>
      </c>
      <c r="E17" s="82"/>
      <c r="F17" s="81"/>
      <c r="G17" s="62"/>
      <c r="H17" s="83"/>
      <c r="I17" s="80"/>
    </row>
    <row r="18" spans="1:9" ht="89.25" customHeight="1" x14ac:dyDescent="0.25">
      <c r="A18" s="84"/>
      <c r="B18" s="85"/>
      <c r="C18" s="86"/>
      <c r="D18" s="87" t="s">
        <v>125</v>
      </c>
      <c r="E18" s="87" t="s">
        <v>126</v>
      </c>
      <c r="F18" s="87"/>
      <c r="G18" s="88"/>
      <c r="H18" s="89"/>
      <c r="I18" s="86"/>
    </row>
    <row r="19" spans="1:9" ht="14.25" customHeight="1" x14ac:dyDescent="0.25">
      <c r="A19" s="330" t="s">
        <v>127</v>
      </c>
      <c r="B19" s="354" t="str">
        <f>ORÇ.ORIGINAL!C16</f>
        <v>INFRA ESTRUTURA</v>
      </c>
      <c r="C19" s="90" t="s">
        <v>128</v>
      </c>
      <c r="D19" s="348">
        <v>100</v>
      </c>
      <c r="E19" s="348"/>
      <c r="F19" s="348"/>
      <c r="G19" s="348"/>
      <c r="H19" s="348"/>
      <c r="I19" s="348"/>
    </row>
    <row r="20" spans="1:9" ht="14.25" customHeight="1" x14ac:dyDescent="0.25">
      <c r="A20" s="330"/>
      <c r="B20" s="354"/>
      <c r="C20" s="90" t="s">
        <v>129</v>
      </c>
      <c r="D20" s="348" t="e">
        <f>ORÇ!#REF!</f>
        <v>#REF!</v>
      </c>
      <c r="E20" s="348"/>
      <c r="F20" s="348"/>
      <c r="G20" s="348"/>
      <c r="H20" s="348" t="e">
        <f>D20</f>
        <v>#REF!</v>
      </c>
      <c r="I20" s="348"/>
    </row>
    <row r="21" spans="1:9" ht="14.25" customHeight="1" x14ac:dyDescent="0.25">
      <c r="A21" s="330" t="s">
        <v>130</v>
      </c>
      <c r="B21" s="347" t="str">
        <f>ORÇ.ORIGINAL!C20</f>
        <v>TUBOS EM CONCRETO</v>
      </c>
      <c r="C21" s="90" t="s">
        <v>131</v>
      </c>
      <c r="D21" s="348" t="e">
        <f>ORÇ!#REF!+ORÇ!#REF!</f>
        <v>#REF!</v>
      </c>
      <c r="E21" s="348"/>
      <c r="F21" s="348"/>
      <c r="G21" s="348"/>
      <c r="H21" s="348"/>
      <c r="I21" s="348"/>
    </row>
    <row r="22" spans="1:9" ht="14.25" customHeight="1" x14ac:dyDescent="0.25">
      <c r="A22" s="330"/>
      <c r="B22" s="347"/>
      <c r="C22" s="90" t="s">
        <v>129</v>
      </c>
      <c r="D22" s="348" t="e">
        <f>ORÇ!#REF!</f>
        <v>#REF!</v>
      </c>
      <c r="E22" s="348"/>
      <c r="F22" s="348"/>
      <c r="G22" s="348"/>
      <c r="H22" s="348" t="e">
        <f>D22</f>
        <v>#REF!</v>
      </c>
      <c r="I22" s="348"/>
    </row>
    <row r="23" spans="1:9" ht="14.25" customHeight="1" x14ac:dyDescent="0.25">
      <c r="A23" s="330" t="s">
        <v>132</v>
      </c>
      <c r="B23" s="347" t="str">
        <f>ORÇ.ORIGINAL!C23</f>
        <v>BOCAS DE LOBO, PV's</v>
      </c>
      <c r="C23" s="90" t="s">
        <v>133</v>
      </c>
      <c r="D23" s="348" t="e">
        <f>ORÇ!#REF!+ORÇ!#REF!</f>
        <v>#REF!</v>
      </c>
      <c r="E23" s="348"/>
      <c r="F23" s="348"/>
      <c r="G23" s="348"/>
      <c r="H23" s="348"/>
      <c r="I23" s="348"/>
    </row>
    <row r="24" spans="1:9" ht="14.25" customHeight="1" x14ac:dyDescent="0.25">
      <c r="A24" s="330"/>
      <c r="B24" s="347"/>
      <c r="C24" s="90" t="s">
        <v>129</v>
      </c>
      <c r="D24" s="348" t="e">
        <f>ORÇ!#REF!</f>
        <v>#REF!</v>
      </c>
      <c r="E24" s="348"/>
      <c r="F24" s="91"/>
      <c r="G24" s="92"/>
      <c r="H24" s="349" t="e">
        <f>D24</f>
        <v>#REF!</v>
      </c>
      <c r="I24" s="349"/>
    </row>
    <row r="25" spans="1:9" ht="14.25" customHeight="1" x14ac:dyDescent="0.25">
      <c r="A25" s="330" t="s">
        <v>134</v>
      </c>
      <c r="B25" s="347" t="str">
        <f>ORÇ.ORIGINAL!C26</f>
        <v>PAVIMENTAÇÃO</v>
      </c>
      <c r="C25" s="90" t="s">
        <v>133</v>
      </c>
      <c r="D25" s="348" t="e">
        <f>ORÇ!#REF!</f>
        <v>#REF!</v>
      </c>
      <c r="E25" s="348"/>
      <c r="F25" s="91"/>
      <c r="G25" s="93"/>
      <c r="H25" s="348"/>
      <c r="I25" s="348"/>
    </row>
    <row r="26" spans="1:9" ht="14.25" customHeight="1" x14ac:dyDescent="0.25">
      <c r="A26" s="330"/>
      <c r="B26" s="347"/>
      <c r="C26" s="90" t="s">
        <v>129</v>
      </c>
      <c r="D26" s="348" t="e">
        <f>ORÇ!#REF!</f>
        <v>#REF!</v>
      </c>
      <c r="E26" s="348"/>
      <c r="F26" s="91"/>
      <c r="G26" s="93"/>
      <c r="H26" s="349" t="e">
        <f>D26</f>
        <v>#REF!</v>
      </c>
      <c r="I26" s="349"/>
    </row>
    <row r="27" spans="1:9" ht="14.25" customHeight="1" x14ac:dyDescent="0.25">
      <c r="A27" s="330"/>
      <c r="B27" s="347"/>
      <c r="C27" s="90"/>
      <c r="D27" s="348"/>
      <c r="E27" s="348"/>
      <c r="H27" s="348"/>
      <c r="I27" s="348"/>
    </row>
    <row r="28" spans="1:9" ht="14.25" customHeight="1" x14ac:dyDescent="0.25">
      <c r="A28" s="330"/>
      <c r="B28" s="347"/>
      <c r="C28" s="90"/>
      <c r="D28" s="348"/>
      <c r="E28" s="348"/>
      <c r="F28" s="348"/>
      <c r="G28" s="348"/>
      <c r="H28" s="349"/>
      <c r="I28" s="349"/>
    </row>
    <row r="29" spans="1:9" ht="14.25" customHeight="1" x14ac:dyDescent="0.25">
      <c r="A29" s="345" t="s">
        <v>135</v>
      </c>
      <c r="B29" s="345"/>
      <c r="C29" s="78" t="s">
        <v>129</v>
      </c>
      <c r="D29" s="346">
        <v>150000</v>
      </c>
      <c r="E29" s="346"/>
      <c r="F29" s="346"/>
      <c r="G29" s="346"/>
      <c r="H29" s="346">
        <f>D29</f>
        <v>150000</v>
      </c>
      <c r="I29" s="346"/>
    </row>
    <row r="30" spans="1:9" ht="14.25" customHeight="1" x14ac:dyDescent="0.25">
      <c r="A30" s="345" t="s">
        <v>136</v>
      </c>
      <c r="B30" s="345"/>
      <c r="C30" s="78" t="s">
        <v>129</v>
      </c>
      <c r="D30" s="346" t="e">
        <f>D31-D29</f>
        <v>#REF!</v>
      </c>
      <c r="E30" s="346"/>
      <c r="F30" s="346"/>
      <c r="G30" s="346"/>
      <c r="H30" s="346" t="e">
        <f>D30</f>
        <v>#REF!</v>
      </c>
      <c r="I30" s="346"/>
    </row>
    <row r="31" spans="1:9" x14ac:dyDescent="0.25">
      <c r="A31" s="345" t="s">
        <v>123</v>
      </c>
      <c r="B31" s="345"/>
      <c r="C31" s="78" t="s">
        <v>129</v>
      </c>
      <c r="D31" s="346" t="e">
        <f>SUM(D20+D22+D24+D26)</f>
        <v>#REF!</v>
      </c>
      <c r="E31" s="346"/>
      <c r="F31" s="346"/>
      <c r="G31" s="346"/>
      <c r="H31" s="346" t="e">
        <f>SUM(H29:I30)</f>
        <v>#REF!</v>
      </c>
      <c r="I31" s="346"/>
    </row>
    <row r="32" spans="1:9" x14ac:dyDescent="0.25">
      <c r="A32" s="94"/>
      <c r="B32" s="94"/>
      <c r="C32" s="64"/>
      <c r="D32" s="95"/>
      <c r="E32">
        <f ca="1">ORÇ!G72</f>
        <v>44123</v>
      </c>
      <c r="F32" s="96"/>
      <c r="G32" s="96"/>
      <c r="H32" s="96"/>
      <c r="I32" s="96"/>
    </row>
    <row r="36" spans="2:9" x14ac:dyDescent="0.25">
      <c r="B36" s="97"/>
      <c r="F36" s="97"/>
      <c r="G36" s="97"/>
      <c r="H36" s="97"/>
      <c r="I36" s="97"/>
    </row>
    <row r="37" spans="2:9" x14ac:dyDescent="0.25">
      <c r="B37" s="62" t="s">
        <v>137</v>
      </c>
      <c r="F37" s="62" t="s">
        <v>138</v>
      </c>
    </row>
    <row r="38" spans="2:9" x14ac:dyDescent="0.25">
      <c r="B38" s="62" t="s">
        <v>139</v>
      </c>
      <c r="F38" s="62" t="s">
        <v>108</v>
      </c>
      <c r="G38" s="64"/>
    </row>
    <row r="39" spans="2:9" x14ac:dyDescent="0.25">
      <c r="B39" s="62" t="s">
        <v>140</v>
      </c>
      <c r="G39" s="64"/>
    </row>
  </sheetData>
  <mergeCells count="59">
    <mergeCell ref="A9:I9"/>
    <mergeCell ref="A10:C11"/>
    <mergeCell ref="F10:H10"/>
    <mergeCell ref="F11:H11"/>
    <mergeCell ref="A13:D14"/>
    <mergeCell ref="F13:I13"/>
    <mergeCell ref="F14:I14"/>
    <mergeCell ref="F15:I15"/>
    <mergeCell ref="D16:E16"/>
    <mergeCell ref="F16:G16"/>
    <mergeCell ref="H16:I16"/>
    <mergeCell ref="A19:A20"/>
    <mergeCell ref="B19:B20"/>
    <mergeCell ref="D19:E19"/>
    <mergeCell ref="F19:G19"/>
    <mergeCell ref="H19:I19"/>
    <mergeCell ref="D20:E20"/>
    <mergeCell ref="F20:G20"/>
    <mergeCell ref="H20:I20"/>
    <mergeCell ref="A21:A22"/>
    <mergeCell ref="B21:B22"/>
    <mergeCell ref="D21:E21"/>
    <mergeCell ref="F21:G21"/>
    <mergeCell ref="H21:I21"/>
    <mergeCell ref="D22:E22"/>
    <mergeCell ref="F22:G22"/>
    <mergeCell ref="H22:I22"/>
    <mergeCell ref="A23:A24"/>
    <mergeCell ref="B23:B24"/>
    <mergeCell ref="D23:E23"/>
    <mergeCell ref="F23:G23"/>
    <mergeCell ref="H23:I23"/>
    <mergeCell ref="D24:E24"/>
    <mergeCell ref="H24:I24"/>
    <mergeCell ref="A25:A26"/>
    <mergeCell ref="B25:B26"/>
    <mergeCell ref="D25:E25"/>
    <mergeCell ref="H25:I25"/>
    <mergeCell ref="D26:E26"/>
    <mergeCell ref="H26:I26"/>
    <mergeCell ref="A27:A28"/>
    <mergeCell ref="B27:B28"/>
    <mergeCell ref="D27:E27"/>
    <mergeCell ref="H27:I27"/>
    <mergeCell ref="D28:E28"/>
    <mergeCell ref="F28:G28"/>
    <mergeCell ref="H28:I28"/>
    <mergeCell ref="A31:B31"/>
    <mergeCell ref="D31:E31"/>
    <mergeCell ref="F31:G31"/>
    <mergeCell ref="H31:I31"/>
    <mergeCell ref="A29:B29"/>
    <mergeCell ref="D29:E29"/>
    <mergeCell ref="F29:G29"/>
    <mergeCell ref="H29:I29"/>
    <mergeCell ref="A30:B30"/>
    <mergeCell ref="D30:E30"/>
    <mergeCell ref="F30:G30"/>
    <mergeCell ref="H30:I30"/>
  </mergeCells>
  <printOptions horizontalCentered="1"/>
  <pageMargins left="0" right="0" top="0.39374999999999999" bottom="0.196527777777778" header="0.51180555555555496" footer="0.51180555555555496"/>
  <pageSetup paperSize="9" firstPageNumber="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28"/>
  <sheetViews>
    <sheetView view="pageBreakPreview" workbookViewId="0">
      <selection activeCell="L26" sqref="L26"/>
    </sheetView>
  </sheetViews>
  <sheetFormatPr defaultRowHeight="15" x14ac:dyDescent="0.25"/>
  <cols>
    <col min="1" max="1" width="18.28515625" customWidth="1"/>
    <col min="2" max="2" width="35.42578125" customWidth="1"/>
    <col min="3" max="4" width="10.7109375" customWidth="1"/>
    <col min="5" max="5" width="9.140625" customWidth="1"/>
    <col min="6" max="6" width="10.7109375" customWidth="1"/>
    <col min="7" max="7" width="9" customWidth="1"/>
    <col min="8" max="8" width="10.7109375" customWidth="1"/>
    <col min="9" max="9" width="8" customWidth="1"/>
    <col min="10" max="10" width="11.42578125" customWidth="1"/>
    <col min="11" max="11" width="8.5703125" customWidth="1"/>
    <col min="12" max="12" width="15.42578125" customWidth="1"/>
    <col min="13" max="1025" width="8.7109375" customWidth="1"/>
  </cols>
  <sheetData>
    <row r="7" spans="1:12" ht="18" x14ac:dyDescent="0.25">
      <c r="A7" s="98"/>
      <c r="B7" s="98"/>
      <c r="C7" s="98" t="s">
        <v>141</v>
      </c>
      <c r="D7" s="98"/>
      <c r="E7" s="98"/>
      <c r="F7" s="98"/>
      <c r="G7" s="98"/>
      <c r="H7" s="98"/>
      <c r="I7" s="98"/>
      <c r="J7" s="98"/>
      <c r="K7" s="98"/>
      <c r="L7" s="98"/>
    </row>
    <row r="8" spans="1:12" ht="20.100000000000001" customHeight="1" thickTop="1" x14ac:dyDescent="0.25">
      <c r="A8" s="99" t="s">
        <v>142</v>
      </c>
      <c r="B8" s="100" t="s">
        <v>143</v>
      </c>
      <c r="C8" s="101"/>
      <c r="D8" s="102"/>
      <c r="E8" s="103"/>
      <c r="F8" s="365" t="s">
        <v>144</v>
      </c>
      <c r="G8" s="365"/>
      <c r="H8" s="100" t="s">
        <v>145</v>
      </c>
      <c r="I8" s="101"/>
      <c r="J8" s="101"/>
      <c r="K8" s="101"/>
      <c r="L8" s="101"/>
    </row>
    <row r="9" spans="1:12" ht="20.100000000000001" customHeight="1" x14ac:dyDescent="0.25">
      <c r="A9" s="104" t="s">
        <v>146</v>
      </c>
      <c r="B9" s="105" t="str">
        <f>ORÇ!A9</f>
        <v>CENTRO DE SAÚDE</v>
      </c>
      <c r="C9" s="106"/>
      <c r="D9" s="107"/>
      <c r="E9" s="108"/>
      <c r="F9" s="366" t="s">
        <v>147</v>
      </c>
      <c r="G9" s="366"/>
      <c r="H9" s="361" t="s">
        <v>295</v>
      </c>
      <c r="I9" s="362"/>
      <c r="J9" s="362"/>
      <c r="K9" s="362"/>
      <c r="L9" s="362"/>
    </row>
    <row r="10" spans="1:12" ht="20.100000000000001" customHeight="1" thickBot="1" x14ac:dyDescent="0.3">
      <c r="A10" s="109" t="s">
        <v>148</v>
      </c>
      <c r="B10" s="367"/>
      <c r="C10" s="367"/>
      <c r="D10" s="368"/>
      <c r="E10" s="368"/>
      <c r="F10" s="369"/>
      <c r="G10" s="369"/>
      <c r="H10" s="363"/>
      <c r="I10" s="364"/>
      <c r="J10" s="364"/>
      <c r="K10" s="364"/>
      <c r="L10" s="364"/>
    </row>
    <row r="11" spans="1:12" ht="16.5" thickTop="1" thickBot="1" x14ac:dyDescent="0.3">
      <c r="A11" s="110"/>
      <c r="B11" s="111"/>
      <c r="C11" s="112"/>
      <c r="D11" s="113">
        <v>30</v>
      </c>
      <c r="E11" s="114" t="s">
        <v>128</v>
      </c>
      <c r="F11" s="113">
        <v>60</v>
      </c>
      <c r="G11" s="114" t="s">
        <v>128</v>
      </c>
      <c r="H11" s="113">
        <v>90</v>
      </c>
      <c r="I11" s="114" t="s">
        <v>128</v>
      </c>
      <c r="J11" s="113">
        <v>120</v>
      </c>
      <c r="K11" s="114" t="s">
        <v>128</v>
      </c>
      <c r="L11" s="115" t="s">
        <v>149</v>
      </c>
    </row>
    <row r="12" spans="1:12" x14ac:dyDescent="0.25">
      <c r="A12" s="116" t="s">
        <v>119</v>
      </c>
      <c r="B12" s="117" t="s">
        <v>120</v>
      </c>
      <c r="C12" s="117" t="s">
        <v>150</v>
      </c>
      <c r="D12" s="117" t="s">
        <v>151</v>
      </c>
      <c r="E12" s="117" t="s">
        <v>152</v>
      </c>
      <c r="F12" s="117" t="s">
        <v>153</v>
      </c>
      <c r="G12" s="117" t="s">
        <v>152</v>
      </c>
      <c r="H12" s="117" t="s">
        <v>154</v>
      </c>
      <c r="I12" s="117" t="s">
        <v>152</v>
      </c>
      <c r="J12" s="117" t="s">
        <v>155</v>
      </c>
      <c r="K12" s="117" t="s">
        <v>152</v>
      </c>
      <c r="L12" s="118" t="s">
        <v>156</v>
      </c>
    </row>
    <row r="13" spans="1:12" x14ac:dyDescent="0.25">
      <c r="A13" s="119"/>
      <c r="B13" s="120"/>
      <c r="C13" s="120"/>
      <c r="D13" s="120"/>
      <c r="E13" s="120" t="s">
        <v>157</v>
      </c>
      <c r="F13" s="120"/>
      <c r="G13" s="120" t="s">
        <v>157</v>
      </c>
      <c r="H13" s="120"/>
      <c r="I13" s="120" t="s">
        <v>157</v>
      </c>
      <c r="J13" s="120"/>
      <c r="K13" s="120" t="s">
        <v>157</v>
      </c>
      <c r="L13" s="121" t="s">
        <v>158</v>
      </c>
    </row>
    <row r="14" spans="1:12" ht="36" customHeight="1" x14ac:dyDescent="0.25">
      <c r="A14" s="122">
        <v>1</v>
      </c>
      <c r="B14" s="123" t="str">
        <f>'ORÇ empresa'!C18</f>
        <v>REPAROS NO CENTRO DE SAUDE/OUT 2020</v>
      </c>
      <c r="C14" s="124">
        <f>L14/$D$20</f>
        <v>1</v>
      </c>
      <c r="D14" s="125">
        <f>L14*E14</f>
        <v>16423.985000000001</v>
      </c>
      <c r="E14" s="126">
        <v>0.5</v>
      </c>
      <c r="F14" s="125">
        <f>L14*G14</f>
        <v>16423.985000000001</v>
      </c>
      <c r="G14" s="126">
        <v>0.5</v>
      </c>
      <c r="H14" s="125">
        <f>L14*I14</f>
        <v>0</v>
      </c>
      <c r="I14" s="126"/>
      <c r="J14" s="125">
        <f>L14*K14</f>
        <v>0</v>
      </c>
      <c r="K14" s="126"/>
      <c r="L14" s="287">
        <f>'ORÇ empresa'!H71</f>
        <v>32847.97</v>
      </c>
    </row>
    <row r="15" spans="1:12" ht="24.95" customHeight="1" x14ac:dyDescent="0.25">
      <c r="A15" s="128">
        <v>2</v>
      </c>
      <c r="B15" s="129"/>
      <c r="C15" s="124"/>
      <c r="D15" s="125"/>
      <c r="E15" s="126"/>
      <c r="F15" s="125"/>
      <c r="G15" s="130"/>
      <c r="H15" s="125"/>
      <c r="I15" s="130"/>
      <c r="J15" s="125"/>
      <c r="K15" s="130"/>
      <c r="L15" s="127"/>
    </row>
    <row r="16" spans="1:12" ht="24.95" customHeight="1" x14ac:dyDescent="0.25">
      <c r="A16" s="131"/>
      <c r="B16" s="132"/>
      <c r="C16" s="124"/>
      <c r="D16" s="125"/>
      <c r="E16" s="126"/>
      <c r="F16" s="125"/>
      <c r="G16" s="130"/>
      <c r="H16" s="125"/>
      <c r="I16" s="130"/>
      <c r="J16" s="125"/>
      <c r="K16" s="130"/>
      <c r="L16" s="127"/>
    </row>
    <row r="17" spans="1:12" ht="24.95" customHeight="1" x14ac:dyDescent="0.25">
      <c r="A17" s="131"/>
      <c r="B17" s="132"/>
      <c r="C17" s="124"/>
      <c r="D17" s="125"/>
      <c r="E17" s="126"/>
      <c r="F17" s="125"/>
      <c r="G17" s="130"/>
      <c r="H17" s="125"/>
      <c r="I17" s="130"/>
      <c r="J17" s="125"/>
      <c r="K17" s="130"/>
      <c r="L17" s="127"/>
    </row>
    <row r="18" spans="1:12" x14ac:dyDescent="0.25">
      <c r="A18" s="133" t="s">
        <v>159</v>
      </c>
      <c r="B18" s="134"/>
      <c r="C18" s="135"/>
      <c r="D18" s="136">
        <f>SUM(D14:D17)</f>
        <v>16423.985000000001</v>
      </c>
      <c r="E18" s="135">
        <f>D18/L18</f>
        <v>0.5</v>
      </c>
      <c r="F18" s="136">
        <f>SUM(F14:F17)</f>
        <v>16423.985000000001</v>
      </c>
      <c r="G18" s="135">
        <f>IF($L$18=0,0,F18/$L$18)</f>
        <v>0.5</v>
      </c>
      <c r="H18" s="136">
        <f>SUM(H14:H17)</f>
        <v>0</v>
      </c>
      <c r="I18" s="135">
        <f>IF($L$18=0,0,H18/$L$18)</f>
        <v>0</v>
      </c>
      <c r="J18" s="136">
        <f>SUM(J14:J17)</f>
        <v>0</v>
      </c>
      <c r="K18" s="135">
        <f>IF($L$18=0,0,J18/$L$18)</f>
        <v>0</v>
      </c>
      <c r="L18" s="284">
        <f>SUM(L14:L15)</f>
        <v>32847.97</v>
      </c>
    </row>
    <row r="19" spans="1:12" x14ac:dyDescent="0.25">
      <c r="A19" s="137" t="s">
        <v>160</v>
      </c>
      <c r="B19" s="134"/>
      <c r="C19" s="138"/>
      <c r="D19" s="139">
        <f>(1-$C$24)*D18</f>
        <v>16423.985000000001</v>
      </c>
      <c r="E19" s="138">
        <f>E18</f>
        <v>0.5</v>
      </c>
      <c r="F19" s="140">
        <f t="shared" ref="F19:K19" si="0">D19+F18</f>
        <v>32847.97</v>
      </c>
      <c r="G19" s="138">
        <f t="shared" si="0"/>
        <v>1</v>
      </c>
      <c r="H19" s="140">
        <f t="shared" si="0"/>
        <v>32847.97</v>
      </c>
      <c r="I19" s="138">
        <f t="shared" si="0"/>
        <v>1</v>
      </c>
      <c r="J19" s="140">
        <f t="shared" si="0"/>
        <v>32847.97</v>
      </c>
      <c r="K19" s="138">
        <f t="shared" si="0"/>
        <v>1</v>
      </c>
      <c r="L19" s="141"/>
    </row>
    <row r="20" spans="1:12" x14ac:dyDescent="0.25">
      <c r="A20" s="142" t="s">
        <v>161</v>
      </c>
      <c r="B20" s="143"/>
      <c r="C20" s="144">
        <f>SUM(C14:C17)</f>
        <v>1</v>
      </c>
      <c r="D20" s="145">
        <f>'ORÇ empresa'!H71</f>
        <v>32847.97</v>
      </c>
      <c r="E20" s="144"/>
      <c r="F20" s="145"/>
      <c r="G20" s="144"/>
      <c r="H20" s="145"/>
      <c r="I20" s="144"/>
      <c r="J20" s="146"/>
      <c r="K20" s="146"/>
      <c r="L20" s="147"/>
    </row>
    <row r="21" spans="1:12" x14ac:dyDescent="0.25">
      <c r="H21" t="s">
        <v>293</v>
      </c>
    </row>
    <row r="23" spans="1:12" x14ac:dyDescent="0.25">
      <c r="B23" s="148"/>
      <c r="H23" s="64"/>
      <c r="I23" s="64"/>
      <c r="J23" s="64"/>
      <c r="K23" s="64"/>
      <c r="L23" s="64"/>
    </row>
    <row r="24" spans="1:12" x14ac:dyDescent="0.25">
      <c r="I24" s="148"/>
      <c r="J24" s="148"/>
      <c r="K24" s="148"/>
      <c r="L24" s="148"/>
    </row>
    <row r="25" spans="1:12" x14ac:dyDescent="0.25">
      <c r="I25" s="148"/>
      <c r="J25" s="148"/>
      <c r="K25" s="148"/>
      <c r="L25" s="148"/>
    </row>
    <row r="26" spans="1:12" ht="18.75" x14ac:dyDescent="0.3">
      <c r="B26" s="72"/>
      <c r="C26" s="67"/>
      <c r="D26" s="67"/>
      <c r="E26" s="67"/>
      <c r="F26" s="67"/>
      <c r="G26" s="72"/>
      <c r="H26" s="61"/>
      <c r="I26" s="61"/>
      <c r="J26" s="61"/>
      <c r="K26" s="148"/>
      <c r="L26" s="148"/>
    </row>
    <row r="27" spans="1:12" ht="18.75" x14ac:dyDescent="0.3">
      <c r="B27" s="72"/>
      <c r="C27" s="67"/>
      <c r="D27" s="67"/>
      <c r="E27" s="67"/>
      <c r="F27" s="67"/>
      <c r="G27" s="72"/>
      <c r="H27" s="60"/>
      <c r="I27" s="60"/>
      <c r="J27" s="60"/>
      <c r="K27" s="62"/>
    </row>
    <row r="28" spans="1:12" ht="18.75" x14ac:dyDescent="0.3">
      <c r="B28" s="67"/>
      <c r="C28" s="67"/>
      <c r="D28" s="67"/>
      <c r="E28" s="67"/>
      <c r="F28" s="67"/>
      <c r="G28" s="67"/>
      <c r="H28" s="60"/>
      <c r="I28" s="60"/>
      <c r="J28" s="60"/>
      <c r="K28" s="62"/>
    </row>
  </sheetData>
  <mergeCells count="6">
    <mergeCell ref="H9:L10"/>
    <mergeCell ref="F8:G8"/>
    <mergeCell ref="F9:G9"/>
    <mergeCell ref="B10:C10"/>
    <mergeCell ref="D10:E10"/>
    <mergeCell ref="F10:G10"/>
  </mergeCells>
  <pageMargins left="0.31527777777777799" right="0.118055555555556" top="0.78749999999999998" bottom="0.78749999999999998" header="0.51180555555555496" footer="0.51180555555555496"/>
  <pageSetup paperSize="9" scale="90" firstPageNumber="0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51"/>
  <sheetViews>
    <sheetView view="pageBreakPreview" workbookViewId="0">
      <pane ySplit="15" topLeftCell="A16" activePane="bottomLeft" state="frozen"/>
      <selection pane="bottomLeft" activeCell="A16" sqref="A16"/>
    </sheetView>
  </sheetViews>
  <sheetFormatPr defaultRowHeight="15" x14ac:dyDescent="0.25"/>
  <cols>
    <col min="1" max="1" width="8.7109375" customWidth="1"/>
    <col min="2" max="2" width="11.42578125"/>
    <col min="3" max="3" width="64" customWidth="1"/>
    <col min="4" max="4" width="7.85546875" customWidth="1"/>
    <col min="5" max="5" width="10" customWidth="1"/>
    <col min="6" max="6" width="12.42578125" customWidth="1"/>
    <col min="7" max="7" width="17.140625" customWidth="1"/>
    <col min="8" max="8" width="10.5703125" customWidth="1"/>
    <col min="9" max="9" width="16.5703125" customWidth="1"/>
    <col min="10" max="10" width="13.85546875" customWidth="1"/>
    <col min="11" max="11" width="14.7109375" customWidth="1"/>
    <col min="12" max="1025" width="8.7109375" customWidth="1"/>
  </cols>
  <sheetData>
    <row r="9" spans="1:11" x14ac:dyDescent="0.25">
      <c r="A9" t="s">
        <v>58</v>
      </c>
    </row>
    <row r="10" spans="1:11" ht="3.75" customHeight="1" x14ac:dyDescent="0.25"/>
    <row r="11" spans="1:11" ht="21" x14ac:dyDescent="0.35">
      <c r="A11" t="s">
        <v>162</v>
      </c>
      <c r="D11" s="14" t="s">
        <v>59</v>
      </c>
    </row>
    <row r="12" spans="1:11" ht="3" customHeight="1" x14ac:dyDescent="0.25"/>
    <row r="13" spans="1:11" x14ac:dyDescent="0.25">
      <c r="A13" t="s">
        <v>2</v>
      </c>
      <c r="F13" s="1" t="s">
        <v>3</v>
      </c>
      <c r="G13" s="1"/>
    </row>
    <row r="14" spans="1:11" ht="25.5" customHeight="1" x14ac:dyDescent="0.25">
      <c r="A14" s="333" t="s">
        <v>4</v>
      </c>
      <c r="B14" s="334" t="s">
        <v>5</v>
      </c>
      <c r="C14" s="332" t="s">
        <v>7</v>
      </c>
      <c r="D14" s="332" t="s">
        <v>9</v>
      </c>
      <c r="E14" s="332" t="s">
        <v>8</v>
      </c>
      <c r="F14" s="372" t="s">
        <v>10</v>
      </c>
      <c r="G14" s="372"/>
      <c r="H14" s="151" t="s">
        <v>165</v>
      </c>
      <c r="I14" s="152" t="s">
        <v>166</v>
      </c>
      <c r="J14" s="149" t="s">
        <v>163</v>
      </c>
      <c r="K14" s="150" t="s">
        <v>164</v>
      </c>
    </row>
    <row r="15" spans="1:11" ht="15.75" x14ac:dyDescent="0.25">
      <c r="A15" s="333"/>
      <c r="B15" s="334"/>
      <c r="C15" s="332"/>
      <c r="D15" s="332"/>
      <c r="E15" s="332"/>
      <c r="F15" s="15" t="s">
        <v>11</v>
      </c>
      <c r="G15" s="68" t="s">
        <v>12</v>
      </c>
      <c r="H15" s="165"/>
      <c r="I15" s="166"/>
      <c r="J15" s="167"/>
      <c r="K15" s="167"/>
    </row>
    <row r="16" spans="1:11" ht="26.25" x14ac:dyDescent="0.25">
      <c r="A16" s="16">
        <v>1</v>
      </c>
      <c r="B16" s="17" t="s">
        <v>60</v>
      </c>
      <c r="C16" s="18" t="s">
        <v>18</v>
      </c>
      <c r="D16" s="19"/>
      <c r="E16" s="20"/>
      <c r="F16" s="21"/>
      <c r="G16" s="168">
        <f>SUM(G17:G19)</f>
        <v>15897.539999999999</v>
      </c>
      <c r="H16" s="169"/>
      <c r="I16" s="170"/>
      <c r="J16" s="171"/>
      <c r="K16" s="155"/>
    </row>
    <row r="17" spans="1:11" ht="45" customHeight="1" x14ac:dyDescent="0.25">
      <c r="A17" s="23" t="s">
        <v>14</v>
      </c>
      <c r="B17" s="24" t="s">
        <v>61</v>
      </c>
      <c r="C17" s="25" t="s">
        <v>62</v>
      </c>
      <c r="D17" s="26" t="s">
        <v>22</v>
      </c>
      <c r="E17" s="27">
        <f>810+126</f>
        <v>936</v>
      </c>
      <c r="F17" s="28">
        <f>ROUND(5.87*(1+$D$35),2)</f>
        <v>7.63</v>
      </c>
      <c r="G17" s="172">
        <f>ROUND(F17*E17,2)</f>
        <v>7141.68</v>
      </c>
      <c r="H17" s="173"/>
      <c r="I17" s="174">
        <f>G17*H17</f>
        <v>0</v>
      </c>
      <c r="J17" s="175">
        <f>H17</f>
        <v>0</v>
      </c>
      <c r="K17" s="176">
        <f>J17*G17</f>
        <v>0</v>
      </c>
    </row>
    <row r="18" spans="1:11" ht="44.25" customHeight="1" x14ac:dyDescent="0.25">
      <c r="A18" s="23" t="s">
        <v>63</v>
      </c>
      <c r="B18" s="24" t="s">
        <v>64</v>
      </c>
      <c r="C18" s="25" t="s">
        <v>179</v>
      </c>
      <c r="D18" s="26" t="s">
        <v>22</v>
      </c>
      <c r="E18" s="27">
        <v>890.49</v>
      </c>
      <c r="F18" s="28">
        <f>ROUND(7.15*(1+$D$35),2)</f>
        <v>9.3000000000000007</v>
      </c>
      <c r="G18" s="172">
        <f>ROUND(F18*E18,2)</f>
        <v>8281.56</v>
      </c>
      <c r="H18" s="173"/>
      <c r="I18" s="174">
        <f>G18*H18</f>
        <v>0</v>
      </c>
      <c r="J18" s="175">
        <f>H18</f>
        <v>0</v>
      </c>
      <c r="K18" s="176">
        <f>J18*G18</f>
        <v>0</v>
      </c>
    </row>
    <row r="19" spans="1:11" ht="30" customHeight="1" x14ac:dyDescent="0.25">
      <c r="A19" s="23" t="s">
        <v>66</v>
      </c>
      <c r="B19" s="24" t="s">
        <v>67</v>
      </c>
      <c r="C19" s="25" t="s">
        <v>28</v>
      </c>
      <c r="D19" s="26" t="s">
        <v>17</v>
      </c>
      <c r="E19" s="27">
        <v>127.5</v>
      </c>
      <c r="F19" s="28">
        <f>ROUND(2.86*(1+$D$35),2)</f>
        <v>3.72</v>
      </c>
      <c r="G19" s="172">
        <f>ROUND(F19*E19,2)</f>
        <v>474.3</v>
      </c>
      <c r="H19" s="173"/>
      <c r="I19" s="174">
        <f>G19*H19</f>
        <v>0</v>
      </c>
      <c r="J19" s="175">
        <f>H19</f>
        <v>0</v>
      </c>
      <c r="K19" s="176">
        <f>J19*G19</f>
        <v>0</v>
      </c>
    </row>
    <row r="20" spans="1:11" ht="30" x14ac:dyDescent="0.25">
      <c r="A20" s="16">
        <v>2</v>
      </c>
      <c r="B20" s="29" t="s">
        <v>68</v>
      </c>
      <c r="C20" s="18" t="s">
        <v>29</v>
      </c>
      <c r="D20" s="30"/>
      <c r="E20" s="31"/>
      <c r="F20" s="32"/>
      <c r="G20" s="177">
        <f>SUM(G21:G22)</f>
        <v>37426.839999999997</v>
      </c>
      <c r="H20" s="173"/>
      <c r="I20" s="174"/>
      <c r="J20" s="175"/>
      <c r="K20" s="176"/>
    </row>
    <row r="21" spans="1:11" ht="18" customHeight="1" x14ac:dyDescent="0.25">
      <c r="A21" s="23" t="s">
        <v>19</v>
      </c>
      <c r="B21" s="24" t="s">
        <v>69</v>
      </c>
      <c r="C21" s="35" t="s">
        <v>32</v>
      </c>
      <c r="D21" s="26" t="s">
        <v>33</v>
      </c>
      <c r="E21" s="27">
        <v>28</v>
      </c>
      <c r="F21" s="28">
        <f>ROUND(94.14*(1+$D$35),2)</f>
        <v>122.38</v>
      </c>
      <c r="G21" s="172">
        <f>ROUND(F21*E21,2)</f>
        <v>3426.64</v>
      </c>
      <c r="H21" s="173"/>
      <c r="I21" s="174">
        <f>G21*H21</f>
        <v>0</v>
      </c>
      <c r="J21" s="175">
        <f>H21</f>
        <v>0</v>
      </c>
      <c r="K21" s="176">
        <f>J21*G21</f>
        <v>0</v>
      </c>
    </row>
    <row r="22" spans="1:11" ht="15.75" customHeight="1" x14ac:dyDescent="0.25">
      <c r="A22" s="23" t="s">
        <v>23</v>
      </c>
      <c r="B22" s="24" t="s">
        <v>70</v>
      </c>
      <c r="C22" s="36" t="s">
        <v>71</v>
      </c>
      <c r="D22" s="26" t="s">
        <v>33</v>
      </c>
      <c r="E22" s="27">
        <v>180</v>
      </c>
      <c r="F22" s="28">
        <f>ROUND(145.3*(1+$D$35),2)</f>
        <v>188.89</v>
      </c>
      <c r="G22" s="172">
        <f>ROUND(F22*E22,2)</f>
        <v>34000.199999999997</v>
      </c>
      <c r="H22" s="173"/>
      <c r="I22" s="174">
        <f>G22*H22</f>
        <v>0</v>
      </c>
      <c r="J22" s="175">
        <f>H22</f>
        <v>0</v>
      </c>
      <c r="K22" s="176">
        <f>J22*G22</f>
        <v>0</v>
      </c>
    </row>
    <row r="23" spans="1:11" ht="26.25" x14ac:dyDescent="0.25">
      <c r="A23" s="37">
        <v>3</v>
      </c>
      <c r="B23" s="17" t="s">
        <v>60</v>
      </c>
      <c r="C23" s="18" t="s">
        <v>72</v>
      </c>
      <c r="D23" s="19"/>
      <c r="E23" s="31"/>
      <c r="F23" s="32"/>
      <c r="G23" s="177">
        <f>SUM(G24:G25)</f>
        <v>15246.72</v>
      </c>
      <c r="H23" s="173"/>
      <c r="I23" s="174"/>
      <c r="J23" s="175"/>
      <c r="K23" s="176"/>
    </row>
    <row r="24" spans="1:11" ht="43.5" customHeight="1" x14ac:dyDescent="0.25">
      <c r="A24" s="23" t="s">
        <v>30</v>
      </c>
      <c r="B24" s="24" t="s">
        <v>73</v>
      </c>
      <c r="C24" s="38" t="s">
        <v>43</v>
      </c>
      <c r="D24" s="39" t="s">
        <v>44</v>
      </c>
      <c r="E24" s="27">
        <v>4</v>
      </c>
      <c r="F24" s="28">
        <f>ROUND(1454.89*(1+$D$35),2)</f>
        <v>1891.36</v>
      </c>
      <c r="G24" s="172">
        <f>ROUND(F24*E24,2)</f>
        <v>7565.44</v>
      </c>
      <c r="H24" s="173"/>
      <c r="I24" s="174">
        <f>G24*H24</f>
        <v>0</v>
      </c>
      <c r="J24" s="175">
        <f>H24</f>
        <v>0</v>
      </c>
      <c r="K24" s="176">
        <f>J24*G24</f>
        <v>0</v>
      </c>
    </row>
    <row r="25" spans="1:11" ht="43.5" customHeight="1" x14ac:dyDescent="0.25">
      <c r="A25" s="23" t="s">
        <v>34</v>
      </c>
      <c r="B25" s="24" t="s">
        <v>74</v>
      </c>
      <c r="C25" s="38" t="s">
        <v>50</v>
      </c>
      <c r="D25" s="39" t="s">
        <v>44</v>
      </c>
      <c r="E25" s="27">
        <v>2</v>
      </c>
      <c r="F25" s="28">
        <f>ROUND(2954.34*(1+$D$35),2)</f>
        <v>3840.64</v>
      </c>
      <c r="G25" s="172">
        <f>ROUND(F25*E25,2)</f>
        <v>7681.28</v>
      </c>
      <c r="H25" s="173"/>
      <c r="I25" s="174">
        <f>G25*H25</f>
        <v>0</v>
      </c>
      <c r="J25" s="175">
        <f>H25</f>
        <v>0</v>
      </c>
      <c r="K25" s="176">
        <f>J25*G25</f>
        <v>0</v>
      </c>
    </row>
    <row r="26" spans="1:11" ht="28.5" customHeight="1" x14ac:dyDescent="0.25">
      <c r="A26" s="37">
        <v>4</v>
      </c>
      <c r="B26" s="17" t="s">
        <v>60</v>
      </c>
      <c r="C26" s="18" t="s">
        <v>75</v>
      </c>
      <c r="D26" s="40" t="s">
        <v>17</v>
      </c>
      <c r="E26" s="41">
        <v>5400.06</v>
      </c>
      <c r="F26" s="153">
        <f>G26/E26</f>
        <v>15.820000148146503</v>
      </c>
      <c r="G26" s="177">
        <f>SUM(G31:G33)</f>
        <v>85428.950000000012</v>
      </c>
      <c r="H26" s="173"/>
      <c r="I26" s="174"/>
      <c r="J26" s="175"/>
      <c r="K26" s="176"/>
    </row>
    <row r="27" spans="1:11" ht="33" customHeight="1" x14ac:dyDescent="0.25">
      <c r="A27" s="43" t="s">
        <v>41</v>
      </c>
      <c r="B27" s="44" t="s">
        <v>77</v>
      </c>
      <c r="C27" s="45" t="s">
        <v>78</v>
      </c>
      <c r="D27" s="46" t="s">
        <v>22</v>
      </c>
      <c r="E27" s="47">
        <f>ROUND($E$26*0.25,2)</f>
        <v>1350.02</v>
      </c>
      <c r="F27" s="28"/>
      <c r="G27" s="172" t="s">
        <v>167</v>
      </c>
      <c r="H27" s="173"/>
      <c r="I27" s="174"/>
      <c r="J27" s="175"/>
      <c r="K27" s="176"/>
    </row>
    <row r="28" spans="1:11" ht="24" customHeight="1" x14ac:dyDescent="0.25">
      <c r="A28" s="43" t="s">
        <v>45</v>
      </c>
      <c r="B28" s="44" t="s">
        <v>168</v>
      </c>
      <c r="C28" s="45" t="s">
        <v>169</v>
      </c>
      <c r="D28" s="46" t="s">
        <v>17</v>
      </c>
      <c r="E28" s="156">
        <f>$E$26</f>
        <v>5400.06</v>
      </c>
      <c r="F28" s="28"/>
      <c r="G28" s="172" t="s">
        <v>167</v>
      </c>
      <c r="H28" s="173"/>
      <c r="I28" s="174"/>
      <c r="J28" s="175"/>
      <c r="K28" s="176"/>
    </row>
    <row r="29" spans="1:11" ht="28.5" customHeight="1" x14ac:dyDescent="0.25">
      <c r="A29" s="43" t="s">
        <v>48</v>
      </c>
      <c r="B29" s="44" t="s">
        <v>87</v>
      </c>
      <c r="C29" s="49" t="s">
        <v>170</v>
      </c>
      <c r="D29" s="46" t="s">
        <v>17</v>
      </c>
      <c r="E29" s="156">
        <f>E28</f>
        <v>5400.06</v>
      </c>
      <c r="F29" s="28"/>
      <c r="G29" s="172" t="s">
        <v>167</v>
      </c>
      <c r="H29" s="173"/>
      <c r="I29" s="174"/>
      <c r="J29" s="175"/>
      <c r="K29" s="176"/>
    </row>
    <row r="30" spans="1:11" ht="41.25" customHeight="1" x14ac:dyDescent="0.25">
      <c r="A30" s="43" t="s">
        <v>51</v>
      </c>
      <c r="B30" s="44" t="s">
        <v>171</v>
      </c>
      <c r="C30" s="49" t="s">
        <v>172</v>
      </c>
      <c r="D30" s="46" t="s">
        <v>22</v>
      </c>
      <c r="E30" s="47">
        <f>ROUND($E$26*0.2,2)</f>
        <v>1080.01</v>
      </c>
      <c r="F30" s="28"/>
      <c r="G30" s="172" t="s">
        <v>167</v>
      </c>
      <c r="H30" s="173"/>
      <c r="I30" s="174"/>
      <c r="J30" s="175"/>
      <c r="K30" s="176"/>
    </row>
    <row r="31" spans="1:11" ht="18.75" customHeight="1" x14ac:dyDescent="0.25">
      <c r="A31" s="43" t="s">
        <v>54</v>
      </c>
      <c r="B31" s="44" t="s">
        <v>93</v>
      </c>
      <c r="C31" s="49" t="s">
        <v>94</v>
      </c>
      <c r="D31" s="46" t="s">
        <v>17</v>
      </c>
      <c r="E31" s="156">
        <f>E28</f>
        <v>5400.06</v>
      </c>
      <c r="F31" s="28">
        <f>ROUND(2.74*(1+$D$35),2)</f>
        <v>3.56</v>
      </c>
      <c r="G31" s="172">
        <f>ROUND(F31*E31,2)</f>
        <v>19224.21</v>
      </c>
      <c r="H31" s="173"/>
      <c r="I31" s="174">
        <f>G31*H31</f>
        <v>0</v>
      </c>
      <c r="J31" s="175">
        <f>H31</f>
        <v>0</v>
      </c>
      <c r="K31" s="176">
        <f>J31*G31</f>
        <v>0</v>
      </c>
    </row>
    <row r="32" spans="1:11" x14ac:dyDescent="0.25">
      <c r="A32" s="43" t="s">
        <v>86</v>
      </c>
      <c r="B32" s="44" t="s">
        <v>96</v>
      </c>
      <c r="C32" s="49" t="s">
        <v>97</v>
      </c>
      <c r="D32" s="46" t="s">
        <v>17</v>
      </c>
      <c r="E32" s="156">
        <f>E29</f>
        <v>5400.06</v>
      </c>
      <c r="F32" s="28">
        <f>ROUND(1.03*(1+$D$35),2)</f>
        <v>1.34</v>
      </c>
      <c r="G32" s="172">
        <f>ROUND(F32*E32,2)</f>
        <v>7236.08</v>
      </c>
      <c r="H32" s="173"/>
      <c r="I32" s="174">
        <f>G32*H32</f>
        <v>0</v>
      </c>
      <c r="J32" s="175">
        <f>H32</f>
        <v>0</v>
      </c>
      <c r="K32" s="176">
        <f>J32*G32</f>
        <v>0</v>
      </c>
    </row>
    <row r="33" spans="1:11" ht="25.5" x14ac:dyDescent="0.25">
      <c r="A33" s="43" t="s">
        <v>89</v>
      </c>
      <c r="B33" s="50" t="s">
        <v>173</v>
      </c>
      <c r="C33" s="51" t="s">
        <v>174</v>
      </c>
      <c r="D33" s="52" t="s">
        <v>17</v>
      </c>
      <c r="E33" s="156">
        <f>E26</f>
        <v>5400.06</v>
      </c>
      <c r="F33" s="28">
        <f>ROUND(8.4*(1+$D$35),2)</f>
        <v>10.92</v>
      </c>
      <c r="G33" s="172">
        <f>ROUND(F33*E33,2)</f>
        <v>58968.66</v>
      </c>
      <c r="H33" s="173"/>
      <c r="I33" s="174">
        <f>G33*H33</f>
        <v>0</v>
      </c>
      <c r="J33" s="175">
        <f>H33</f>
        <v>0</v>
      </c>
      <c r="K33" s="176">
        <f>J33*G33</f>
        <v>0</v>
      </c>
    </row>
    <row r="34" spans="1:11" x14ac:dyDescent="0.25">
      <c r="H34" s="178"/>
      <c r="I34" s="179"/>
    </row>
    <row r="35" spans="1:11" ht="15.75" x14ac:dyDescent="0.25">
      <c r="A35" s="53"/>
      <c r="B35" s="54"/>
      <c r="C35" s="55" t="s">
        <v>101</v>
      </c>
      <c r="D35" s="56">
        <v>0.3</v>
      </c>
      <c r="E35" s="57"/>
      <c r="F35" s="57"/>
      <c r="G35" s="58">
        <f>SUM(G16+G20+G23+G26)</f>
        <v>154000.04999999999</v>
      </c>
      <c r="H35" s="180">
        <f>I35/G35</f>
        <v>0</v>
      </c>
      <c r="I35" s="181">
        <f>SUM(I17:I34)</f>
        <v>0</v>
      </c>
      <c r="J35" s="182">
        <f>K35/G35</f>
        <v>0</v>
      </c>
      <c r="K35" s="58">
        <f>SUM(K17:K34)</f>
        <v>0</v>
      </c>
    </row>
    <row r="37" spans="1:11" x14ac:dyDescent="0.25">
      <c r="F37" s="59" t="s">
        <v>180</v>
      </c>
    </row>
    <row r="38" spans="1:11" x14ac:dyDescent="0.25">
      <c r="D38" s="60"/>
      <c r="E38" s="60"/>
      <c r="G38" s="61"/>
    </row>
    <row r="39" spans="1:11" ht="15.75" customHeight="1" x14ac:dyDescent="0.25">
      <c r="C39" s="373" t="s">
        <v>175</v>
      </c>
      <c r="D39" s="183"/>
      <c r="E39" s="183"/>
      <c r="F39" s="374"/>
      <c r="G39" s="374"/>
    </row>
    <row r="40" spans="1:11" x14ac:dyDescent="0.25">
      <c r="C40" s="373"/>
      <c r="D40" s="184" t="s">
        <v>176</v>
      </c>
      <c r="E40" s="184" t="s">
        <v>128</v>
      </c>
      <c r="F40" s="375" t="s">
        <v>149</v>
      </c>
      <c r="G40" s="375"/>
    </row>
    <row r="41" spans="1:11" ht="15.75" x14ac:dyDescent="0.25">
      <c r="C41" s="185" t="s">
        <v>181</v>
      </c>
      <c r="D41" s="186"/>
      <c r="E41" s="187">
        <f>F41/G35</f>
        <v>0</v>
      </c>
      <c r="F41" s="376">
        <f>I35</f>
        <v>0</v>
      </c>
      <c r="G41" s="376"/>
    </row>
    <row r="42" spans="1:11" ht="15.75" x14ac:dyDescent="0.25">
      <c r="C42" s="185"/>
      <c r="D42" s="186"/>
      <c r="E42" s="187"/>
      <c r="F42" s="188"/>
      <c r="G42" s="189"/>
    </row>
    <row r="43" spans="1:11" x14ac:dyDescent="0.25">
      <c r="C43" s="190" t="s">
        <v>177</v>
      </c>
      <c r="D43" s="191"/>
      <c r="E43" s="192">
        <f>F43/G35</f>
        <v>0</v>
      </c>
      <c r="F43" s="370">
        <f>SUM(F41:G42)</f>
        <v>0</v>
      </c>
      <c r="G43" s="370"/>
    </row>
    <row r="44" spans="1:11" x14ac:dyDescent="0.25">
      <c r="C44" s="193" t="s">
        <v>178</v>
      </c>
      <c r="D44" s="194"/>
      <c r="E44" s="195">
        <f>F44/G35</f>
        <v>1</v>
      </c>
      <c r="F44" s="371">
        <f>G35-F41</f>
        <v>154000.04999999999</v>
      </c>
      <c r="G44" s="371"/>
    </row>
    <row r="49" spans="3:6" x14ac:dyDescent="0.25">
      <c r="C49" s="61" t="s">
        <v>103</v>
      </c>
      <c r="F49" s="61" t="s">
        <v>104</v>
      </c>
    </row>
    <row r="50" spans="3:6" x14ac:dyDescent="0.25">
      <c r="C50" s="61" t="s">
        <v>105</v>
      </c>
      <c r="F50" s="61" t="s">
        <v>106</v>
      </c>
    </row>
    <row r="51" spans="3:6" x14ac:dyDescent="0.25">
      <c r="C51" t="s">
        <v>140</v>
      </c>
    </row>
  </sheetData>
  <mergeCells count="12">
    <mergeCell ref="A14:A15"/>
    <mergeCell ref="B14:B15"/>
    <mergeCell ref="C14:C15"/>
    <mergeCell ref="D14:D15"/>
    <mergeCell ref="E14:E15"/>
    <mergeCell ref="F43:G43"/>
    <mergeCell ref="F44:G44"/>
    <mergeCell ref="F14:G14"/>
    <mergeCell ref="C39:C40"/>
    <mergeCell ref="F39:G39"/>
    <mergeCell ref="F40:G40"/>
    <mergeCell ref="F41:G41"/>
  </mergeCells>
  <pageMargins left="0.51180555555555496" right="0.118055555555556" top="0.39374999999999999" bottom="0.59027777777777801" header="0.51180555555555496" footer="0.51180555555555496"/>
  <pageSetup paperSize="9" firstPageNumber="0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9:AMK38"/>
  <sheetViews>
    <sheetView view="pageBreakPreview" topLeftCell="A2" workbookViewId="0">
      <pane ySplit="12" topLeftCell="A26" activePane="bottomLeft" state="frozen"/>
      <selection activeCell="A2" sqref="A2"/>
      <selection pane="bottomLeft" activeCell="D31" sqref="D31"/>
    </sheetView>
  </sheetViews>
  <sheetFormatPr defaultRowHeight="15.75" x14ac:dyDescent="0.25"/>
  <cols>
    <col min="1" max="2" width="10.140625" style="196" customWidth="1"/>
    <col min="3" max="3" width="5.42578125" style="197" customWidth="1"/>
    <col min="4" max="4" width="47.28515625" style="196" customWidth="1"/>
    <col min="5" max="5" width="10.28515625" style="196" customWidth="1"/>
    <col min="6" max="6" width="12.28515625" style="198" customWidth="1"/>
    <col min="7" max="7" width="17.5703125" style="198" customWidth="1"/>
    <col min="8" max="8" width="15.42578125" style="196" customWidth="1"/>
    <col min="9" max="9" width="13.140625" style="196" customWidth="1"/>
    <col min="10" max="10" width="18" style="196" customWidth="1"/>
    <col min="11" max="12" width="15.42578125" style="196" customWidth="1"/>
    <col min="13" max="1025" width="9.140625" style="196" customWidth="1"/>
  </cols>
  <sheetData>
    <row r="9" spans="1:12" x14ac:dyDescent="0.25">
      <c r="A9" s="199" t="s">
        <v>182</v>
      </c>
    </row>
    <row r="10" spans="1:12" x14ac:dyDescent="0.25">
      <c r="A10" s="199" t="s">
        <v>183</v>
      </c>
    </row>
    <row r="11" spans="1:12" ht="18" x14ac:dyDescent="0.25">
      <c r="A11" s="199" t="s">
        <v>184</v>
      </c>
      <c r="G11" s="200" t="s">
        <v>185</v>
      </c>
    </row>
    <row r="12" spans="1:12" x14ac:dyDescent="0.25">
      <c r="A12" s="199"/>
    </row>
    <row r="13" spans="1:12" ht="35.25" customHeight="1" x14ac:dyDescent="0.25">
      <c r="A13" s="201" t="s">
        <v>186</v>
      </c>
      <c r="B13" s="201" t="s">
        <v>187</v>
      </c>
      <c r="C13" s="201" t="s">
        <v>188</v>
      </c>
      <c r="D13" s="201" t="s">
        <v>189</v>
      </c>
      <c r="E13" s="201" t="s">
        <v>190</v>
      </c>
      <c r="F13" s="201" t="s">
        <v>191</v>
      </c>
      <c r="G13" s="201" t="s">
        <v>192</v>
      </c>
      <c r="H13" s="202" t="s">
        <v>193</v>
      </c>
      <c r="I13" s="203" t="s">
        <v>165</v>
      </c>
      <c r="J13" s="204" t="s">
        <v>166</v>
      </c>
      <c r="K13" s="205" t="s">
        <v>163</v>
      </c>
      <c r="L13" s="201" t="s">
        <v>164</v>
      </c>
    </row>
    <row r="14" spans="1:12" s="210" customFormat="1" x14ac:dyDescent="0.25">
      <c r="A14" s="206"/>
      <c r="B14" s="206"/>
      <c r="C14" s="206">
        <v>1</v>
      </c>
      <c r="D14" s="206" t="s">
        <v>194</v>
      </c>
      <c r="E14" s="206"/>
      <c r="F14" s="206"/>
      <c r="G14" s="206"/>
      <c r="H14" s="207"/>
      <c r="I14" s="208"/>
      <c r="J14" s="209"/>
      <c r="K14" s="206"/>
      <c r="L14" s="206"/>
    </row>
    <row r="15" spans="1:12" s="210" customFormat="1" ht="43.5" customHeight="1" x14ac:dyDescent="0.25">
      <c r="A15" s="211" t="s">
        <v>195</v>
      </c>
      <c r="B15" s="212">
        <v>3062</v>
      </c>
      <c r="C15" s="213" t="s">
        <v>14</v>
      </c>
      <c r="D15" s="25" t="s">
        <v>21</v>
      </c>
      <c r="E15" s="214" t="s">
        <v>22</v>
      </c>
      <c r="F15" s="215">
        <v>7.64</v>
      </c>
      <c r="G15" s="27">
        <f>810+126</f>
        <v>936</v>
      </c>
      <c r="H15" s="158">
        <f>ROUND(F15*G15,2)</f>
        <v>7151.04</v>
      </c>
      <c r="I15" s="216">
        <v>0.2</v>
      </c>
      <c r="J15" s="159">
        <f>ROUND(F15*G15*I15,2)</f>
        <v>1430.21</v>
      </c>
      <c r="K15" s="157">
        <f t="shared" ref="K15:L17" si="0">I15</f>
        <v>0.2</v>
      </c>
      <c r="L15" s="158">
        <f t="shared" si="0"/>
        <v>1430.21</v>
      </c>
    </row>
    <row r="16" spans="1:12" s="210" customFormat="1" ht="58.5" customHeight="1" x14ac:dyDescent="0.25">
      <c r="A16" s="211" t="s">
        <v>196</v>
      </c>
      <c r="B16" s="217" t="s">
        <v>64</v>
      </c>
      <c r="C16" s="213" t="s">
        <v>63</v>
      </c>
      <c r="D16" s="25" t="s">
        <v>197</v>
      </c>
      <c r="E16" s="214" t="s">
        <v>22</v>
      </c>
      <c r="F16" s="215">
        <v>8.39</v>
      </c>
      <c r="G16" s="27">
        <v>890.49</v>
      </c>
      <c r="H16" s="158">
        <f>ROUND(F16*G16,2)</f>
        <v>7471.21</v>
      </c>
      <c r="I16" s="216">
        <v>0.2</v>
      </c>
      <c r="J16" s="159">
        <f>ROUND(F16*G16*I16,2)</f>
        <v>1494.24</v>
      </c>
      <c r="K16" s="157">
        <f t="shared" si="0"/>
        <v>0.2</v>
      </c>
      <c r="L16" s="158">
        <f t="shared" si="0"/>
        <v>1494.24</v>
      </c>
    </row>
    <row r="17" spans="1:12" s="210" customFormat="1" ht="30" customHeight="1" x14ac:dyDescent="0.25">
      <c r="A17" s="211" t="s">
        <v>198</v>
      </c>
      <c r="B17" s="217" t="s">
        <v>67</v>
      </c>
      <c r="C17" s="213" t="s">
        <v>66</v>
      </c>
      <c r="D17" s="25" t="s">
        <v>28</v>
      </c>
      <c r="E17" s="214" t="s">
        <v>17</v>
      </c>
      <c r="F17" s="215">
        <v>3.83</v>
      </c>
      <c r="G17" s="27">
        <v>127.5</v>
      </c>
      <c r="H17" s="158">
        <f>ROUND(F17*G17,2)</f>
        <v>488.33</v>
      </c>
      <c r="I17" s="216">
        <v>0.2</v>
      </c>
      <c r="J17" s="159">
        <f>ROUND(F17*G17*I17,2)</f>
        <v>97.67</v>
      </c>
      <c r="K17" s="157">
        <f t="shared" si="0"/>
        <v>0.2</v>
      </c>
      <c r="L17" s="158">
        <f t="shared" si="0"/>
        <v>97.67</v>
      </c>
    </row>
    <row r="18" spans="1:12" s="210" customFormat="1" ht="15" customHeight="1" x14ac:dyDescent="0.25">
      <c r="A18" s="206"/>
      <c r="B18" s="218"/>
      <c r="C18" s="219">
        <v>2</v>
      </c>
      <c r="D18" s="220" t="s">
        <v>199</v>
      </c>
      <c r="E18" s="221"/>
      <c r="F18" s="222"/>
      <c r="G18" s="220"/>
      <c r="H18" s="223"/>
      <c r="I18" s="224"/>
      <c r="J18" s="225"/>
      <c r="K18" s="226"/>
      <c r="L18" s="226"/>
    </row>
    <row r="19" spans="1:12" s="210" customFormat="1" ht="15" customHeight="1" x14ac:dyDescent="0.25">
      <c r="A19" s="227" t="s">
        <v>200</v>
      </c>
      <c r="B19" s="217" t="s">
        <v>69</v>
      </c>
      <c r="C19" s="213" t="s">
        <v>19</v>
      </c>
      <c r="D19" s="38" t="s">
        <v>201</v>
      </c>
      <c r="E19" s="214" t="s">
        <v>202</v>
      </c>
      <c r="F19" s="215">
        <v>125.97</v>
      </c>
      <c r="G19" s="228">
        <v>133</v>
      </c>
      <c r="H19" s="158">
        <f>ROUND(F19*G19,2)</f>
        <v>16754.009999999998</v>
      </c>
      <c r="I19" s="216">
        <v>0.35</v>
      </c>
      <c r="J19" s="159">
        <f>ROUND(F19*G19*I19,2)</f>
        <v>5863.9</v>
      </c>
      <c r="K19" s="229"/>
      <c r="L19" s="158">
        <f>J19</f>
        <v>5863.9</v>
      </c>
    </row>
    <row r="20" spans="1:12" s="210" customFormat="1" ht="15" customHeight="1" x14ac:dyDescent="0.25">
      <c r="A20" s="227" t="s">
        <v>200</v>
      </c>
      <c r="B20" s="217" t="s">
        <v>203</v>
      </c>
      <c r="C20" s="213" t="s">
        <v>23</v>
      </c>
      <c r="D20" s="38" t="s">
        <v>204</v>
      </c>
      <c r="E20" s="214" t="s">
        <v>202</v>
      </c>
      <c r="F20" s="215">
        <v>298.64999999999998</v>
      </c>
      <c r="G20" s="228">
        <f>450-90-90</f>
        <v>270</v>
      </c>
      <c r="H20" s="158">
        <f>ROUND(F20*G20,2)</f>
        <v>80635.5</v>
      </c>
      <c r="I20" s="216">
        <v>0.5</v>
      </c>
      <c r="J20" s="159">
        <f>ROUND(F20*G20*I20,2)</f>
        <v>40317.75</v>
      </c>
      <c r="K20" s="229"/>
      <c r="L20" s="158">
        <f>J20</f>
        <v>40317.75</v>
      </c>
    </row>
    <row r="21" spans="1:12" s="210" customFormat="1" ht="15" customHeight="1" x14ac:dyDescent="0.25">
      <c r="A21" s="227" t="s">
        <v>200</v>
      </c>
      <c r="B21" s="217" t="s">
        <v>205</v>
      </c>
      <c r="C21" s="213" t="s">
        <v>26</v>
      </c>
      <c r="D21" s="38" t="s">
        <v>206</v>
      </c>
      <c r="E21" s="214" t="s">
        <v>202</v>
      </c>
      <c r="F21" s="215">
        <v>651.34</v>
      </c>
      <c r="G21" s="228">
        <v>20</v>
      </c>
      <c r="H21" s="158">
        <f>ROUND(F21*G21,2)</f>
        <v>13026.8</v>
      </c>
      <c r="I21" s="216">
        <v>1</v>
      </c>
      <c r="J21" s="159">
        <f>ROUND(F21*G21*I21,2)</f>
        <v>13026.8</v>
      </c>
      <c r="K21" s="229"/>
      <c r="L21" s="158">
        <f>J21</f>
        <v>13026.8</v>
      </c>
    </row>
    <row r="22" spans="1:12" s="210" customFormat="1" ht="15" customHeight="1" x14ac:dyDescent="0.25">
      <c r="A22" s="206"/>
      <c r="B22" s="218"/>
      <c r="C22" s="230">
        <v>3</v>
      </c>
      <c r="D22" s="231" t="s">
        <v>207</v>
      </c>
      <c r="E22" s="231"/>
      <c r="F22" s="232"/>
      <c r="G22" s="231"/>
      <c r="H22" s="223"/>
      <c r="I22" s="224"/>
      <c r="J22" s="225"/>
      <c r="K22" s="226"/>
      <c r="L22" s="226"/>
    </row>
    <row r="23" spans="1:12" s="210" customFormat="1" ht="74.25" customHeight="1" x14ac:dyDescent="0.25">
      <c r="A23" s="211" t="s">
        <v>195</v>
      </c>
      <c r="B23" s="217" t="s">
        <v>73</v>
      </c>
      <c r="C23" s="213" t="s">
        <v>30</v>
      </c>
      <c r="D23" s="38" t="s">
        <v>43</v>
      </c>
      <c r="E23" s="233" t="s">
        <v>44</v>
      </c>
      <c r="F23" s="215">
        <v>1668.31</v>
      </c>
      <c r="G23" s="233">
        <v>5</v>
      </c>
      <c r="H23" s="158">
        <f>ROUND(F23*G23,2)</f>
        <v>8341.5499999999993</v>
      </c>
      <c r="I23" s="216"/>
      <c r="J23" s="159">
        <f>ROUND(F23*G23*I23,2)</f>
        <v>0</v>
      </c>
      <c r="K23" s="229"/>
      <c r="L23" s="158">
        <f>J23</f>
        <v>0</v>
      </c>
    </row>
    <row r="24" spans="1:12" s="210" customFormat="1" ht="77.25" customHeight="1" x14ac:dyDescent="0.25">
      <c r="A24" s="211" t="s">
        <v>195</v>
      </c>
      <c r="B24" s="217" t="s">
        <v>208</v>
      </c>
      <c r="C24" s="213" t="s">
        <v>34</v>
      </c>
      <c r="D24" s="38" t="s">
        <v>47</v>
      </c>
      <c r="E24" s="233" t="s">
        <v>44</v>
      </c>
      <c r="F24" s="215">
        <v>2389.34</v>
      </c>
      <c r="G24" s="233">
        <f>4-2-1+4+4+2+1+1+1</f>
        <v>14</v>
      </c>
      <c r="H24" s="158">
        <f>ROUND(F24*G24,2)</f>
        <v>33450.76</v>
      </c>
      <c r="I24" s="216"/>
      <c r="J24" s="159">
        <f>ROUND(F24*G24*I24,2)</f>
        <v>0</v>
      </c>
      <c r="K24" s="229"/>
      <c r="L24" s="158">
        <f>J24</f>
        <v>0</v>
      </c>
    </row>
    <row r="25" spans="1:12" s="210" customFormat="1" ht="15.75" customHeight="1" x14ac:dyDescent="0.25">
      <c r="A25" s="206"/>
      <c r="B25" s="218"/>
      <c r="C25" s="230">
        <v>4</v>
      </c>
      <c r="D25" s="231" t="s">
        <v>209</v>
      </c>
      <c r="E25" s="231"/>
      <c r="F25" s="232"/>
      <c r="G25" s="231"/>
      <c r="H25" s="223"/>
      <c r="I25" s="224"/>
      <c r="J25" s="225"/>
      <c r="K25" s="226"/>
      <c r="L25" s="226"/>
    </row>
    <row r="26" spans="1:12" s="210" customFormat="1" ht="77.25" customHeight="1" x14ac:dyDescent="0.25">
      <c r="A26" s="211" t="s">
        <v>195</v>
      </c>
      <c r="B26" s="217" t="s">
        <v>74</v>
      </c>
      <c r="C26" s="213" t="s">
        <v>41</v>
      </c>
      <c r="D26" s="25" t="s">
        <v>50</v>
      </c>
      <c r="E26" s="233" t="s">
        <v>44</v>
      </c>
      <c r="F26" s="215">
        <v>3318.31</v>
      </c>
      <c r="G26" s="233">
        <f>5-1</f>
        <v>4</v>
      </c>
      <c r="H26" s="158">
        <f>ROUND(F26*G26,2)</f>
        <v>13273.24</v>
      </c>
      <c r="I26" s="216">
        <v>0.25</v>
      </c>
      <c r="J26" s="159">
        <f>ROUND(F26*G26*I26,2)</f>
        <v>3318.31</v>
      </c>
      <c r="K26" s="229"/>
      <c r="L26" s="158">
        <f>J26</f>
        <v>3318.31</v>
      </c>
    </row>
    <row r="27" spans="1:12" s="210" customFormat="1" ht="15" customHeight="1" x14ac:dyDescent="0.25">
      <c r="C27" s="234"/>
      <c r="D27" s="235"/>
      <c r="E27" s="235"/>
      <c r="F27" s="236"/>
      <c r="G27" s="237"/>
      <c r="I27" s="238"/>
      <c r="J27" s="239"/>
    </row>
    <row r="28" spans="1:12" s="210" customFormat="1" x14ac:dyDescent="0.25">
      <c r="A28" s="240"/>
      <c r="B28" s="240"/>
      <c r="C28" s="377" t="s">
        <v>123</v>
      </c>
      <c r="D28" s="377"/>
      <c r="E28" s="377"/>
      <c r="F28" s="377"/>
      <c r="G28" s="241"/>
      <c r="H28" s="242">
        <f>SUM(H15:H26)</f>
        <v>180592.44</v>
      </c>
      <c r="I28" s="243">
        <f>J28/H28</f>
        <v>0.36296580299817649</v>
      </c>
      <c r="J28" s="244">
        <f>SUM(J15:J26)</f>
        <v>65548.88</v>
      </c>
      <c r="K28" s="245">
        <f>L28/H28</f>
        <v>0.36296580299817649</v>
      </c>
      <c r="L28" s="246">
        <f>SUM(L15:L26)</f>
        <v>65548.88</v>
      </c>
    </row>
    <row r="29" spans="1:12" s="247" customFormat="1" ht="15" x14ac:dyDescent="0.25">
      <c r="C29" s="248"/>
      <c r="F29" s="249"/>
      <c r="G29" s="249"/>
      <c r="J29" s="250"/>
    </row>
    <row r="31" spans="1:12" ht="15.75" customHeight="1" x14ac:dyDescent="0.25">
      <c r="D31" s="378" t="s">
        <v>175</v>
      </c>
      <c r="E31" s="251"/>
      <c r="F31" s="251"/>
      <c r="G31" s="252"/>
      <c r="H31" s="253"/>
      <c r="I31" s="253"/>
      <c r="J31" s="254"/>
      <c r="K31" s="254"/>
    </row>
    <row r="32" spans="1:12" x14ac:dyDescent="0.25">
      <c r="D32" s="378"/>
      <c r="E32" s="160" t="s">
        <v>176</v>
      </c>
      <c r="F32" s="160" t="s">
        <v>128</v>
      </c>
      <c r="G32" s="255" t="s">
        <v>149</v>
      </c>
      <c r="H32" s="256"/>
      <c r="I32" s="256"/>
      <c r="J32" s="254"/>
      <c r="K32" s="254"/>
    </row>
    <row r="33" spans="2:11" x14ac:dyDescent="0.25">
      <c r="B33" s="199"/>
      <c r="C33" s="257"/>
      <c r="D33" s="258" t="s">
        <v>181</v>
      </c>
      <c r="E33" s="161">
        <v>40976</v>
      </c>
      <c r="F33" s="162">
        <f>I28</f>
        <v>0.36296580299817649</v>
      </c>
      <c r="G33" s="259">
        <f>J28</f>
        <v>65548.88</v>
      </c>
      <c r="H33" s="260"/>
      <c r="I33" s="260"/>
      <c r="J33" s="254"/>
      <c r="K33" s="254"/>
    </row>
    <row r="34" spans="2:11" x14ac:dyDescent="0.25">
      <c r="B34" s="199"/>
      <c r="C34" s="257"/>
      <c r="D34" s="261" t="s">
        <v>177</v>
      </c>
      <c r="E34" s="163"/>
      <c r="F34" s="164">
        <f>K28</f>
        <v>0.36296580299817649</v>
      </c>
      <c r="G34" s="262">
        <f>SUM(G33:I33)</f>
        <v>65548.88</v>
      </c>
      <c r="H34" s="263"/>
      <c r="I34" s="263"/>
      <c r="J34" s="264"/>
      <c r="K34" s="264"/>
    </row>
    <row r="35" spans="2:11" x14ac:dyDescent="0.25">
      <c r="D35" s="265" t="s">
        <v>178</v>
      </c>
      <c r="E35" s="266"/>
      <c r="F35" s="267">
        <f>G35/H28</f>
        <v>0.63703419700182351</v>
      </c>
      <c r="G35" s="268">
        <f>H28-G34</f>
        <v>115043.56</v>
      </c>
      <c r="H35" s="263"/>
      <c r="I35" s="263"/>
      <c r="J35" s="264"/>
      <c r="K35" s="264"/>
    </row>
    <row r="36" spans="2:11" x14ac:dyDescent="0.25">
      <c r="D36" s="269"/>
      <c r="E36" s="254"/>
      <c r="F36" s="270"/>
      <c r="G36" s="253"/>
      <c r="H36" s="253"/>
      <c r="I36" s="253"/>
      <c r="J36" s="254"/>
      <c r="K36" s="254"/>
    </row>
    <row r="37" spans="2:11" x14ac:dyDescent="0.25">
      <c r="D37" s="269"/>
      <c r="E37" s="271"/>
      <c r="F37" s="254"/>
      <c r="G37" s="254"/>
      <c r="H37" s="254"/>
      <c r="I37" s="254"/>
      <c r="J37" s="272"/>
      <c r="K37" s="254"/>
    </row>
    <row r="38" spans="2:11" x14ac:dyDescent="0.25">
      <c r="D38" s="269"/>
      <c r="E38" s="271"/>
      <c r="F38" s="254"/>
      <c r="G38" s="196"/>
      <c r="H38" s="254"/>
      <c r="I38" s="254" t="s">
        <v>210</v>
      </c>
      <c r="J38" s="254"/>
      <c r="K38" s="254"/>
    </row>
  </sheetData>
  <mergeCells count="2">
    <mergeCell ref="C28:F28"/>
    <mergeCell ref="D31:D32"/>
  </mergeCells>
  <pageMargins left="0.31527777777777799" right="0.118055555555556" top="0.59027777777777801" bottom="0.59027777777777801" header="0.51180555555555496" footer="0.118055555555556"/>
  <pageSetup paperSize="9" firstPageNumber="0" orientation="landscape" horizontalDpi="300" verticalDpi="300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8</vt:i4>
      </vt:variant>
    </vt:vector>
  </HeadingPairs>
  <TitlesOfParts>
    <vt:vector size="18" baseType="lpstr">
      <vt:lpstr>Plan1</vt:lpstr>
      <vt:lpstr>ORÇ.ORIGINAL</vt:lpstr>
      <vt:lpstr>ORÇ licitação</vt:lpstr>
      <vt:lpstr>ORÇ empresa</vt:lpstr>
      <vt:lpstr>ORÇ</vt:lpstr>
      <vt:lpstr>cron.erplan</vt:lpstr>
      <vt:lpstr>CRONO.LIC</vt:lpstr>
      <vt:lpstr>BM.1</vt:lpstr>
      <vt:lpstr>BM 1</vt:lpstr>
      <vt:lpstr>orç na prancha</vt:lpstr>
      <vt:lpstr>CRONO.LIC!Area_de_impressao</vt:lpstr>
      <vt:lpstr>ORÇ!Area_de_impressao</vt:lpstr>
      <vt:lpstr>'ORÇ empresa'!Area_de_impressao</vt:lpstr>
      <vt:lpstr>'ORÇ licitação'!Area_de_impressao</vt:lpstr>
      <vt:lpstr>'BM 1'!Print_Titles_0_0</vt:lpstr>
      <vt:lpstr>ORÇ!Titulos_de_impressao</vt:lpstr>
      <vt:lpstr>'ORÇ empresa'!Titulos_de_impressao</vt:lpstr>
      <vt:lpstr>'ORÇ licitação'!Titulos_de_impressao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EngPc</cp:lastModifiedBy>
  <cp:revision>15</cp:revision>
  <cp:lastPrinted>2020-10-19T14:52:10Z</cp:lastPrinted>
  <dcterms:created xsi:type="dcterms:W3CDTF">2011-09-30T19:25:41Z</dcterms:created>
  <dcterms:modified xsi:type="dcterms:W3CDTF">2020-10-19T14:52:50Z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