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ilherme\Downloads\"/>
    </mc:Choice>
  </mc:AlternateContent>
  <bookViews>
    <workbookView xWindow="0" yWindow="0" windowWidth="28800" windowHeight="12300" tabRatio="500" firstSheet="3" activeTab="3"/>
  </bookViews>
  <sheets>
    <sheet name="Plan1" sheetId="1" state="hidden" r:id="rId1"/>
    <sheet name="ORÇ.ORIGINAL" sheetId="2" state="hidden" r:id="rId2"/>
    <sheet name="cron.erplan" sheetId="5" state="hidden" r:id="rId3"/>
    <sheet name="Cronograma" sheetId="14" r:id="rId4"/>
    <sheet name="BM.1" sheetId="11" state="hidden" r:id="rId5"/>
    <sheet name="BM 1" sheetId="12" state="hidden" r:id="rId6"/>
    <sheet name="orç na prancha" sheetId="13" state="hidden" r:id="rId7"/>
  </sheets>
  <definedNames>
    <definedName name="_xlnm.Print_Area" localSheetId="3">Cronograma!$A$1:$F$41</definedName>
    <definedName name="Print_Titles_0_0" localSheetId="5">'BM 1'!$A:$H,'BM 1'!$2:$13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2" i="14" l="1"/>
  <c r="F32" i="14" l="1"/>
  <c r="F30" i="14"/>
  <c r="F25" i="14"/>
  <c r="F26" i="14"/>
  <c r="F27" i="14"/>
  <c r="F28" i="14"/>
  <c r="F24" i="14"/>
  <c r="F23" i="14"/>
  <c r="D34" i="14" l="1"/>
  <c r="F34" i="14" s="1"/>
  <c r="G26" i="12" l="1"/>
  <c r="J26" i="12" s="1"/>
  <c r="L26" i="12" s="1"/>
  <c r="G24" i="12"/>
  <c r="J24" i="12" s="1"/>
  <c r="L24" i="12" s="1"/>
  <c r="J23" i="12"/>
  <c r="L23" i="12" s="1"/>
  <c r="H23" i="12"/>
  <c r="J21" i="12"/>
  <c r="L21" i="12" s="1"/>
  <c r="H21" i="12"/>
  <c r="G20" i="12"/>
  <c r="J20" i="12" s="1"/>
  <c r="L20" i="12" s="1"/>
  <c r="J19" i="12"/>
  <c r="L19" i="12" s="1"/>
  <c r="H19" i="12"/>
  <c r="K17" i="12"/>
  <c r="J17" i="12"/>
  <c r="L17" i="12" s="1"/>
  <c r="H17" i="12"/>
  <c r="K16" i="12"/>
  <c r="J16" i="12"/>
  <c r="L16" i="12" s="1"/>
  <c r="H16" i="12"/>
  <c r="K15" i="12"/>
  <c r="G15" i="12"/>
  <c r="H15" i="12" s="1"/>
  <c r="J33" i="11"/>
  <c r="F33" i="11"/>
  <c r="E33" i="11"/>
  <c r="J32" i="11"/>
  <c r="F32" i="11"/>
  <c r="J31" i="11"/>
  <c r="F31" i="11"/>
  <c r="E30" i="11"/>
  <c r="E28" i="11"/>
  <c r="E31" i="11" s="1"/>
  <c r="G31" i="11" s="1"/>
  <c r="E27" i="11"/>
  <c r="J25" i="11"/>
  <c r="F25" i="11"/>
  <c r="G25" i="11" s="1"/>
  <c r="I25" i="11" s="1"/>
  <c r="J24" i="11"/>
  <c r="F24" i="11"/>
  <c r="G24" i="11" s="1"/>
  <c r="J22" i="11"/>
  <c r="F22" i="11"/>
  <c r="G22" i="11" s="1"/>
  <c r="J21" i="11"/>
  <c r="F21" i="11"/>
  <c r="G21" i="11" s="1"/>
  <c r="J19" i="11"/>
  <c r="F19" i="11"/>
  <c r="G19" i="11" s="1"/>
  <c r="J18" i="11"/>
  <c r="F18" i="11"/>
  <c r="G18" i="11" s="1"/>
  <c r="J17" i="11"/>
  <c r="F17" i="11"/>
  <c r="E17" i="11"/>
  <c r="H29" i="5"/>
  <c r="D26" i="5"/>
  <c r="H26" i="5" s="1"/>
  <c r="B25" i="5"/>
  <c r="D24" i="5"/>
  <c r="H24" i="5" s="1"/>
  <c r="D23" i="5"/>
  <c r="B23" i="5"/>
  <c r="D22" i="5"/>
  <c r="H22" i="5" s="1"/>
  <c r="D21" i="5"/>
  <c r="B21" i="5"/>
  <c r="D20" i="5"/>
  <c r="B19" i="5"/>
  <c r="F36" i="2"/>
  <c r="G36" i="2" s="1"/>
  <c r="F35" i="2"/>
  <c r="G35" i="2" s="1"/>
  <c r="F34" i="2"/>
  <c r="G34" i="2" s="1"/>
  <c r="F33" i="2"/>
  <c r="E33" i="2"/>
  <c r="F32" i="2"/>
  <c r="G32" i="2" s="1"/>
  <c r="F31" i="2"/>
  <c r="E31" i="2"/>
  <c r="F30" i="2"/>
  <c r="E30" i="2"/>
  <c r="F29" i="2"/>
  <c r="E29" i="2"/>
  <c r="F28" i="2"/>
  <c r="E28" i="2"/>
  <c r="F27" i="2"/>
  <c r="E27" i="2"/>
  <c r="F25" i="2"/>
  <c r="G25" i="2" s="1"/>
  <c r="F24" i="2"/>
  <c r="G24" i="2" s="1"/>
  <c r="F22" i="2"/>
  <c r="G22" i="2" s="1"/>
  <c r="F21" i="2"/>
  <c r="G21" i="2" s="1"/>
  <c r="F19" i="2"/>
  <c r="G19" i="2" s="1"/>
  <c r="F18" i="2"/>
  <c r="G18" i="2" s="1"/>
  <c r="F17" i="2"/>
  <c r="E17" i="2"/>
  <c r="L24" i="1"/>
  <c r="H24" i="1"/>
  <c r="L23" i="1"/>
  <c r="G23" i="1"/>
  <c r="H23" i="1" s="1"/>
  <c r="L22" i="1"/>
  <c r="G22" i="1"/>
  <c r="H22" i="1" s="1"/>
  <c r="L21" i="1"/>
  <c r="G21" i="1"/>
  <c r="H21" i="1" s="1"/>
  <c r="J20" i="1"/>
  <c r="L20" i="1" s="1"/>
  <c r="G20" i="1"/>
  <c r="H20" i="1" s="1"/>
  <c r="H19" i="1"/>
  <c r="H18" i="1"/>
  <c r="H17" i="1"/>
  <c r="H16" i="1"/>
  <c r="H15" i="1"/>
  <c r="H14" i="1"/>
  <c r="H13" i="1"/>
  <c r="H12" i="1"/>
  <c r="H11" i="1"/>
  <c r="H10" i="1"/>
  <c r="E29" i="11" l="1"/>
  <c r="E32" i="11" s="1"/>
  <c r="G31" i="2"/>
  <c r="G33" i="2"/>
  <c r="G29" i="2"/>
  <c r="K19" i="11"/>
  <c r="G32" i="11"/>
  <c r="G28" i="2"/>
  <c r="G30" i="2"/>
  <c r="G17" i="2"/>
  <c r="G27" i="2"/>
  <c r="J15" i="12"/>
  <c r="L15" i="12" s="1"/>
  <c r="L28" i="12" s="1"/>
  <c r="H20" i="12"/>
  <c r="K22" i="11"/>
  <c r="I22" i="11"/>
  <c r="K18" i="11"/>
  <c r="I18" i="11"/>
  <c r="G20" i="11"/>
  <c r="I21" i="11"/>
  <c r="N25" i="1"/>
  <c r="L25" i="1"/>
  <c r="K21" i="11"/>
  <c r="G33" i="11"/>
  <c r="I33" i="11" s="1"/>
  <c r="H26" i="12"/>
  <c r="G23" i="2"/>
  <c r="G17" i="11"/>
  <c r="K17" i="11" s="1"/>
  <c r="K25" i="11"/>
  <c r="H24" i="12"/>
  <c r="D31" i="5"/>
  <c r="D30" i="5" s="1"/>
  <c r="H30" i="5" s="1"/>
  <c r="H31" i="5" s="1"/>
  <c r="D25" i="5"/>
  <c r="H25" i="1"/>
  <c r="I31" i="11"/>
  <c r="I24" i="11"/>
  <c r="G23" i="11"/>
  <c r="K24" i="11"/>
  <c r="K32" i="11"/>
  <c r="I32" i="11"/>
  <c r="G20" i="2"/>
  <c r="G16" i="2"/>
  <c r="K31" i="11"/>
  <c r="E32" i="5"/>
  <c r="I19" i="11"/>
  <c r="H20" i="5"/>
  <c r="G26" i="2" l="1"/>
  <c r="J28" i="12"/>
  <c r="G33" i="12" s="1"/>
  <c r="G34" i="12" s="1"/>
  <c r="G35" i="12" s="1"/>
  <c r="F35" i="12" s="1"/>
  <c r="G38" i="2"/>
  <c r="G26" i="11"/>
  <c r="F26" i="11" s="1"/>
  <c r="H28" i="12"/>
  <c r="K28" i="12" s="1"/>
  <c r="F34" i="12" s="1"/>
  <c r="K33" i="11"/>
  <c r="G16" i="11"/>
  <c r="I17" i="11"/>
  <c r="I35" i="11" s="1"/>
  <c r="K35" i="11"/>
  <c r="G35" i="11" l="1"/>
  <c r="J35" i="11" s="1"/>
  <c r="I28" i="12"/>
  <c r="F33" i="12" s="1"/>
  <c r="F41" i="11"/>
  <c r="F44" i="11" s="1"/>
  <c r="E44" i="11" s="1"/>
  <c r="H35" i="11" l="1"/>
  <c r="F43" i="11"/>
  <c r="E43" i="11" s="1"/>
  <c r="E41" i="11"/>
</calcChain>
</file>

<file path=xl/sharedStrings.xml><?xml version="1.0" encoding="utf-8"?>
<sst xmlns="http://schemas.openxmlformats.org/spreadsheetml/2006/main" count="446" uniqueCount="216">
  <si>
    <t>Obra: Galeria de Àguas Pluviais</t>
  </si>
  <si>
    <t>Local: Rua: Justino de Andrade</t>
  </si>
  <si>
    <t>Cidade : Euclides da Cunha Paulista - São Paulo</t>
  </si>
  <si>
    <t>BDI Adotado: 30%</t>
  </si>
  <si>
    <t>Item</t>
  </si>
  <si>
    <t>código/órgão</t>
  </si>
  <si>
    <t>data base</t>
  </si>
  <si>
    <t>Descrição</t>
  </si>
  <si>
    <t>Quant.</t>
  </si>
  <si>
    <t>Unid</t>
  </si>
  <si>
    <t>Preço</t>
  </si>
  <si>
    <t>unitário</t>
  </si>
  <si>
    <t>Total</t>
  </si>
  <si>
    <t>PLACA DA OBRA</t>
  </si>
  <si>
    <t>1.1</t>
  </si>
  <si>
    <t>28.08.01.01 / DER</t>
  </si>
  <si>
    <t>Confecção,Montagem e Instalação de Placa Institucional</t>
  </si>
  <si>
    <t>m²</t>
  </si>
  <si>
    <t>INFRA ESTRUTURA</t>
  </si>
  <si>
    <t>2.1</t>
  </si>
  <si>
    <t>3062/sinapi</t>
  </si>
  <si>
    <t>ESCAVACAO MEC DE VALA NAO ESCORADA EM MATERIAL DE 1A CATEGORIA COM PROFUNDIDADE DE 1,5 ATE 3M COM RETROESCAVADEIRA 75HP</t>
  </si>
  <si>
    <t>m³</t>
  </si>
  <si>
    <t>2.2</t>
  </si>
  <si>
    <t>73964/005 -sinapi</t>
  </si>
  <si>
    <t>REATERRO DE VALA/CAVA SEM CONTROLE DE COMPACTAÇÃO , UTILIZANDO RETRO-ESCAVADEIRA E COMPACTACADOR VIBRATORIO COM MATERIAL REAPROVEITADO</t>
  </si>
  <si>
    <t>2.3</t>
  </si>
  <si>
    <t>74249/001-sinapi</t>
  </si>
  <si>
    <t>LASTRO DE BRITA 25MM, ESPESSURA 3CM, INCLUSO COMPACTACAO MANUAL</t>
  </si>
  <si>
    <t>TUBOS EM CONCRETO</t>
  </si>
  <si>
    <t>3.1</t>
  </si>
  <si>
    <t>24.16.01-DER</t>
  </si>
  <si>
    <t>Tubo de concreto d=0,40 m classe PA-1</t>
  </si>
  <si>
    <t>ml</t>
  </si>
  <si>
    <t>3.2</t>
  </si>
  <si>
    <t>24.16.11-DER</t>
  </si>
  <si>
    <t>Tubo de concreto d=0,80 m classe PA-1</t>
  </si>
  <si>
    <t>3.3</t>
  </si>
  <si>
    <t>24.16.15-DER</t>
  </si>
  <si>
    <t>Tubo de concreto d=1,00 m classe PA-1</t>
  </si>
  <si>
    <t>BOCAS DE LOBO, PV's, DISSIPADOR</t>
  </si>
  <si>
    <t>4.1</t>
  </si>
  <si>
    <t>73856/005 sinapi</t>
  </si>
  <si>
    <t>BOCA PARA BUEIRO SIMPLES TUBULAR, DIAMETRO =1,20M, EM CONCRETO CICLOPICO, INCLUINDO FORMAS, ESCAVACAO, REATERRO E MATERIAIS, EXCLUINDO MATERIAL REATERRO JAZIDA E TRANSPORTE.</t>
  </si>
  <si>
    <t>unid</t>
  </si>
  <si>
    <t>4.2</t>
  </si>
  <si>
    <t>73856/010 sinapi</t>
  </si>
  <si>
    <t>BOCA PARA BUEIRO DUPLOTUBULAR, DIAMETRO =1,20M, EM CONCRETO CICLOPICO, INCLUINDO FORMAS, ESCAVACAO, REATERRO E MATERIAIS, EXCLUINDO MATERIAL REATERRO JAZIDA E TRANSPORTE.</t>
  </si>
  <si>
    <t>4.3</t>
  </si>
  <si>
    <t>74124/008 sinapi</t>
  </si>
  <si>
    <t>POCO VISITA AG PLUV:CONC ARM 1,70X1,70X1,80M COLETOR D=1,20M PAREDE E=15CM BASE CONC FCK=10MPA REVEST C/ARG CIM/AREIA 1:4 DEGRAUS FF INCL FORN TODOS MATERIAIS, COM PROF. DE 2,0M.</t>
  </si>
  <si>
    <t>4.4</t>
  </si>
  <si>
    <t>74214/001 sinapi</t>
  </si>
  <si>
    <t>MÓDULO TÍPICO &gt; POÇO DE VISITA EM ALVENARIA PARA REDE DE AGUA PLUVIAL, DIAMETRO 1,20 M - PROFUNDIDADE ATE 4,00 METROS.</t>
  </si>
  <si>
    <t>4.5</t>
  </si>
  <si>
    <t>s/ código</t>
  </si>
  <si>
    <t>Dissipador</t>
  </si>
  <si>
    <t>Euclides da Cunha Paulista, 05 de Outubro de 2011</t>
  </si>
  <si>
    <t>Obra:  Execução de pavimentação asfaltica e Galeria de Àguas Pluviais</t>
  </si>
  <si>
    <t>2PARTE</t>
  </si>
  <si>
    <t>SINAPI/FEV 2012</t>
  </si>
  <si>
    <t>3062/</t>
  </si>
  <si>
    <t>ESCAVACAO MEC DE VALA NAO ESCORADA EM MATERIAL DE 1A CATEGORIA COM PROFUNDIDADE DE 1,5M COM RETROESCAVADEIRA 75HP</t>
  </si>
  <si>
    <t>1.2</t>
  </si>
  <si>
    <t>73964/005</t>
  </si>
  <si>
    <r>
      <rPr>
        <sz val="11"/>
        <color rgb="FF000000"/>
        <rFont val="Calibri"/>
        <family val="2"/>
        <charset val="1"/>
      </rPr>
      <t xml:space="preserve">REATERRO DE VALA/CAVA SEM CONTROLE DE COMPACTAÇÃO , UTILIZANDO RETRO-ESCAVADEIRA E </t>
    </r>
    <r>
      <rPr>
        <u/>
        <sz val="11"/>
        <color rgb="FF000000"/>
        <rFont val="Calibri"/>
        <family val="2"/>
        <charset val="1"/>
      </rPr>
      <t>COMPACTACADOR VIBRATORIO</t>
    </r>
    <r>
      <rPr>
        <sz val="11"/>
        <color rgb="FF000000"/>
        <rFont val="Calibri"/>
        <family val="2"/>
        <charset val="1"/>
      </rPr>
      <t xml:space="preserve"> COM MATERIAL REAPROVEITADO</t>
    </r>
  </si>
  <si>
    <t>1.3</t>
  </si>
  <si>
    <t>74249/001</t>
  </si>
  <si>
    <t>DER 12/2011</t>
  </si>
  <si>
    <t>24.16.01</t>
  </si>
  <si>
    <t>24.16.07</t>
  </si>
  <si>
    <t>TUBO DE CONCRETO D=0,60M CLASSE PA-1</t>
  </si>
  <si>
    <t>BOCAS DE LOBO, PV's</t>
  </si>
  <si>
    <t>73856/005</t>
  </si>
  <si>
    <t>74124/008</t>
  </si>
  <si>
    <t>PAVIMENTAÇÃO</t>
  </si>
  <si>
    <t>R$/m² 25,11</t>
  </si>
  <si>
    <t>74205/001</t>
  </si>
  <si>
    <t>ABERTURA E PREPARO DE CAIXA ATÉ 25CM COM REMOCAO DE MATERIAL 1A. CATEGORIA, EM CAMINHAO BASCULANTE, D.M.T.=6 KM (INCLUSIVE CARGA MECANICA E DESCARGA).</t>
  </si>
  <si>
    <t>74010/001</t>
  </si>
  <si>
    <r>
      <rPr>
        <sz val="10"/>
        <color rgb="FF000000"/>
        <rFont val="Arial"/>
        <family val="2"/>
        <charset val="1"/>
      </rPr>
      <t xml:space="preserve">CARGA E DESCARGA MECANICA DE SOLO UTILIZANDO CAMINHAO BASCULANTE 6,0M3 /11T E PA CARREGADEIRA SOBRE PNEUS * 105 HP * CAP. 1,72M3. </t>
    </r>
    <r>
      <rPr>
        <i/>
        <sz val="10"/>
        <color rgb="FF000000"/>
        <rFont val="Arial"/>
        <family val="2"/>
        <charset val="1"/>
      </rPr>
      <t>(Carga de material retirado da abertura de caixa a ser destinado ao bota fora)</t>
    </r>
  </si>
  <si>
    <t>72880</t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</si>
  <si>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ao bota fora)</t>
    </r>
  </si>
  <si>
    <t>74151/001</t>
  </si>
  <si>
    <r>
      <rPr>
        <sz val="10"/>
        <color rgb="FF000000"/>
        <rFont val="Arial"/>
        <family val="2"/>
        <charset val="1"/>
      </rPr>
      <t xml:space="preserve">ESCAVACAO E CARGA MATERIAL 1A CATEGORIA, UTILIZANDO TRATOR DE ESTEIRAS DE 110 A 160HP COM LAMINA, PESO OPERACIONAL * 13T E PA CARREGADEIRA COM 170 HP. </t>
    </r>
    <r>
      <rPr>
        <i/>
        <sz val="10"/>
        <color rgb="FF000000"/>
        <rFont val="Arial"/>
        <family val="2"/>
        <charset val="1"/>
      </rPr>
      <t>(Em jazida para construção da base de sub-leito)</t>
    </r>
  </si>
  <si>
    <r>
      <rPr>
        <sz val="10"/>
        <color rgb="FF000000"/>
        <rFont val="Arial"/>
        <family val="2"/>
        <charset val="1"/>
      </rPr>
      <t xml:space="preserve">TRANSPORTE LOCAL COM CAMINHAO BASCULANTE 6 M3, RODOVIA PAVIMENTADA, DM T 800 A 1.000 M </t>
    </r>
    <r>
      <rPr>
        <i/>
        <sz val="10"/>
        <color rgb="FF000000"/>
        <rFont val="Arial"/>
        <family val="2"/>
        <charset val="1"/>
      </rPr>
      <t>(Transporte de material da jazida ao local de aplicação do sub-leito)</t>
    </r>
  </si>
  <si>
    <t>4.6</t>
  </si>
  <si>
    <t>72961</t>
  </si>
  <si>
    <t xml:space="preserve">REGULARIZACAO E COMPACTACAO DE SUBLEITO ATE 20 CM DE ESPESSURA </t>
  </si>
  <si>
    <t>4.7</t>
  </si>
  <si>
    <t>72911</t>
  </si>
  <si>
    <t>BASE DE SOLO ARENOSO FINO, COMPACTACAO 100% PROCTOR MODIFICADO</t>
  </si>
  <si>
    <t>4.8</t>
  </si>
  <si>
    <t>72945</t>
  </si>
  <si>
    <t xml:space="preserve">IMPRIMACAO DE BASE DE PAVIMENTACAO COM EMULSAO CM-30 </t>
  </si>
  <si>
    <t>4.9</t>
  </si>
  <si>
    <t>72943</t>
  </si>
  <si>
    <t>PINTURA DE LIGACAO COM EMULSAO RR-2C</t>
  </si>
  <si>
    <t>4.10</t>
  </si>
  <si>
    <t>72960</t>
  </si>
  <si>
    <t>TRATAMENTO SUPERFICIAL TRIPULO - TST, COM EMULSAO RR-2C, INCLUSIVE CAPA SELANTE</t>
  </si>
  <si>
    <t>TOTAL COM BDI DE</t>
  </si>
  <si>
    <t>EUCLIDES DA CUNHA PTA, 29 DE MARÇO DE 2012.</t>
  </si>
  <si>
    <t>Eng.º Edson Luiz da Silva</t>
  </si>
  <si>
    <t>Ediberto Aparecido Zaupa</t>
  </si>
  <si>
    <t>Crea SP-5060740530/D</t>
  </si>
  <si>
    <t>Prefeito Municipal</t>
  </si>
  <si>
    <t>A.R.T. 9222122012035274</t>
  </si>
  <si>
    <t>PREFEITO MUNICIPAL</t>
  </si>
  <si>
    <t>CRONOGRAMA FÍSICO - DESEMBOLSO E APLICAÇÃO DOS RECURSOS</t>
  </si>
  <si>
    <t>SECRETARIA DE PLANEJAMENTO E DESENVOLVIMENTO REGIONAL UNIDADE DE ARTICULAÇÃO COM MUNICÍPIOS</t>
  </si>
  <si>
    <t>MUNICIPIO</t>
  </si>
  <si>
    <t>DATA BASE</t>
  </si>
  <si>
    <t>EUCLIDES DA CUNHA PAULISTA/SP</t>
  </si>
  <si>
    <r>
      <rPr>
        <b/>
        <sz val="11"/>
        <color rgb="FF000000"/>
        <rFont val="Calibri"/>
        <family val="2"/>
        <charset val="1"/>
      </rPr>
      <t xml:space="preserve">OBRA: </t>
    </r>
    <r>
      <rPr>
        <sz val="11"/>
        <color rgb="FF000000"/>
        <rFont val="Calibri"/>
        <family val="2"/>
        <charset val="1"/>
      </rPr>
      <t>INFRAESTRUTURA URBANA-GALERIA DE ÁGUA PLUVIAL, BOCAS DE LOBO, PV´s E PAVIMENTAÇÃO ASFALTICA</t>
    </r>
  </si>
  <si>
    <t>PRAZO PROPOSTO</t>
  </si>
  <si>
    <t>INÍCIO: DATA DO CONVÊNIO</t>
  </si>
  <si>
    <t>FINAL: 360 DIAS A PARTIR DA DATA DA ASSINATURA DO CONVÊNIO</t>
  </si>
  <si>
    <t>ITEM</t>
  </si>
  <si>
    <t>SERVIÇOS</t>
  </si>
  <si>
    <t>UNIDADE</t>
  </si>
  <si>
    <t>1ª ETAPA</t>
  </si>
  <si>
    <t>TOTAL</t>
  </si>
  <si>
    <t>PERÍODO: 360 DIAS</t>
  </si>
  <si>
    <t>LIBERAÇÃO: EM ATÉ 30 DIAS APÓS A ASSINATURA DO CONVÊNIO</t>
  </si>
  <si>
    <t>PRAZO DE EXECUÇÃO: 330 DIAS</t>
  </si>
  <si>
    <t>1.0</t>
  </si>
  <si>
    <t>%</t>
  </si>
  <si>
    <t>R$</t>
  </si>
  <si>
    <t>2.0</t>
  </si>
  <si>
    <t>M</t>
  </si>
  <si>
    <t>3.0</t>
  </si>
  <si>
    <t>UND.</t>
  </si>
  <si>
    <t>4.0</t>
  </si>
  <si>
    <t>RECURSOS ESTADUAIS</t>
  </si>
  <si>
    <t>RECURSOS PRÓPRIOS</t>
  </si>
  <si>
    <t>ENG.º EDSON LUIZ DA SILVA</t>
  </si>
  <si>
    <t>EDIBERTO AP.º ZAUPA</t>
  </si>
  <si>
    <t>CREA SP 5060740530/D</t>
  </si>
  <si>
    <t>A.R.T. 92221220120317653</t>
  </si>
  <si>
    <t>MUNICÍPIO:</t>
  </si>
  <si>
    <t>VALOR</t>
  </si>
  <si>
    <t>SERVIÇO</t>
  </si>
  <si>
    <t>Local: Rua: Justino de Andrade e Rua Albino Soares Linhares</t>
  </si>
  <si>
    <t>% ACUMULADO</t>
  </si>
  <si>
    <t>R$ ACUMULADO</t>
  </si>
  <si>
    <t>% PERIODO</t>
  </si>
  <si>
    <t>R$ PERIODO</t>
  </si>
  <si>
    <t>PMECP</t>
  </si>
  <si>
    <t>74205/002</t>
  </si>
  <si>
    <t>ABERTURA E PREPARO DE CAIXA ATÉ 40CM COM TRANSPORTE (95%)</t>
  </si>
  <si>
    <t>REGULARIZACAO E COMPACTACAO DE SUBLEITO ATE 20 CM DE ESPESSURA MÍNIMO DE (95% PN)</t>
  </si>
  <si>
    <t>72924</t>
  </si>
  <si>
    <t>BASE DE SOLO - BRITA (50/50), MISTURA EM USINA, COMPACTACAO 100% PROCTOR MODIFICADO, EXCLUSIVE ESCAVACAO, CARGA E TRANSPORTE, 20CM</t>
  </si>
  <si>
    <t>72958</t>
  </si>
  <si>
    <t>TRATAMENTO SUPERFICIAL DUPLO - TSD, COM EMULSAO RR-2C, 2,8cm</t>
  </si>
  <si>
    <t>RELATÓRIO DE MEDIÇÃO</t>
  </si>
  <si>
    <t>DATA</t>
  </si>
  <si>
    <t>TOTAL ACUMULADO</t>
  </si>
  <si>
    <t>A EXECUTAR</t>
  </si>
  <si>
    <r>
      <rPr>
        <sz val="11"/>
        <color rgb="FF000000"/>
        <rFont val="Calibri"/>
        <family val="2"/>
        <charset val="1"/>
      </rPr>
      <t>REATERRO DE VALA/CAVA SEM CONTROLE DE COMPACTAÇÃO , UTILIZANDO RETRO-ESCAVADEIRA E</t>
    </r>
    <r>
      <rPr>
        <u/>
        <sz val="11"/>
        <color rgb="FF000000"/>
        <rFont val="Calibri"/>
        <family val="2"/>
        <charset val="1"/>
      </rPr>
      <t xml:space="preserve"> </t>
    </r>
    <r>
      <rPr>
        <sz val="11"/>
        <color rgb="FF000000"/>
        <rFont val="Calibri"/>
        <family val="2"/>
        <charset val="1"/>
      </rPr>
      <t>COMPACTACADOR VIBRATORIO COM MATERIAL REAPROVEITADO</t>
    </r>
  </si>
  <si>
    <t>EUCLIDES DA CUNHA PTA,12 DE ABRIL DE 2012.</t>
  </si>
  <si>
    <t>BM1 - ESTA MEDIÇÃO</t>
  </si>
  <si>
    <t>OBJETO: INFRAESTRUTURA - GALERIA DE ÁGUAS PLUVIAIS, BOCAS DE LOBO E DISSIPADOR</t>
  </si>
  <si>
    <t>LOCAL: RUA JUSTINO DE ANDRADE</t>
  </si>
  <si>
    <t>MUNICÍPIO: EUCLIDES DA CUNHA PAULISTA</t>
  </si>
  <si>
    <t>BOLETIM DE MEDIÇÃO N.º 001</t>
  </si>
  <si>
    <t>FONTE</t>
  </si>
  <si>
    <t>CÓDIGO</t>
  </si>
  <si>
    <t>Ítem</t>
  </si>
  <si>
    <t>Descrição dos Serviços</t>
  </si>
  <si>
    <t>UNID.</t>
  </si>
  <si>
    <t>PREÇO UNITÁRIO</t>
  </si>
  <si>
    <t>Quantidade</t>
  </si>
  <si>
    <t>VALOR LICITADO</t>
  </si>
  <si>
    <t>INFRAESTRUTURA</t>
  </si>
  <si>
    <t>SINAPI AGO/2011</t>
  </si>
  <si>
    <t>SINAPI AGO/2012</t>
  </si>
  <si>
    <t>REATERRO DE VALA/CAVA SEM CONTROLE DE COMPACTAÇÃO , UTILIZANDO RETRO-ESCAVADEIRA E COMPACTADOR VIBRATORIO COM MATERIAL REAPROVEITADO</t>
  </si>
  <si>
    <t>SINAPI AGO/2013</t>
  </si>
  <si>
    <t>TUBOS DE CONCRETO</t>
  </si>
  <si>
    <t>DER</t>
  </si>
  <si>
    <t>Tubo de concreto d=0,40 m classe PA-1, incluso assentamento</t>
  </si>
  <si>
    <t xml:space="preserve">m </t>
  </si>
  <si>
    <t>24.16.11</t>
  </si>
  <si>
    <t>Tubo de concreto d=0,80 m classe PA-1  incluso assentamento</t>
  </si>
  <si>
    <t>24.16.15</t>
  </si>
  <si>
    <t>Tubo de concreto d=1,00 m classe PA-1  incluso assentamento</t>
  </si>
  <si>
    <t>BOCA DE LOBO</t>
  </si>
  <si>
    <t>73856/010</t>
  </si>
  <si>
    <t>POÇO DE VISITA</t>
  </si>
  <si>
    <t>EUCLIDES DA CUNHA PTA, 08 DE MARÇO DE 2012</t>
  </si>
  <si>
    <t>BOCAS DE LOBO, PV's,</t>
  </si>
  <si>
    <t>M2</t>
  </si>
  <si>
    <t>EUCLIDES DA CUNHA PAULISTA - SP</t>
  </si>
  <si>
    <t>GOVERNO DO ESTADO DE SÃO PAULO</t>
  </si>
  <si>
    <t>DATA BASE:</t>
  </si>
  <si>
    <t>SECRETARIA DE DESENVOLVIMENTO REGIONAL</t>
  </si>
  <si>
    <t>SUBSECRETARIA DE CONVÊNIOS COM MUNICÍPIOS E ENTIDADES GOVERNAMENTAIS</t>
  </si>
  <si>
    <t>OBJETO:</t>
  </si>
  <si>
    <t>M3</t>
  </si>
  <si>
    <t>RECURSOS TOTAIS</t>
  </si>
  <si>
    <t>ENGENHIRO CIVIL - CREA 506.074.053-0</t>
  </si>
  <si>
    <t xml:space="preserve">ENGº EDSON LUIZ DA SILVA  </t>
  </si>
  <si>
    <t/>
  </si>
  <si>
    <t>DOMINGOS MENTE LOPES</t>
  </si>
  <si>
    <t xml:space="preserve"> </t>
  </si>
  <si>
    <r>
      <t xml:space="preserve">PRAZO DE VIGÊNCIA: </t>
    </r>
    <r>
      <rPr>
        <b/>
        <sz val="14"/>
        <rFont val="Calibri"/>
        <family val="2"/>
      </rPr>
      <t>720 (SETECENTOS E VINTE) DIAS</t>
    </r>
  </si>
  <si>
    <r>
      <t xml:space="preserve">PRAZO DE EXECUÇÃO: </t>
    </r>
    <r>
      <rPr>
        <b/>
        <sz val="14"/>
        <rFont val="Calibri"/>
        <family val="2"/>
      </rPr>
      <t>690 (SEISCENTOS E NOVENTA) DIAS</t>
    </r>
  </si>
  <si>
    <r>
      <t xml:space="preserve">INÍCIO: </t>
    </r>
    <r>
      <rPr>
        <b/>
        <sz val="14"/>
        <rFont val="Calibri"/>
        <family val="2"/>
      </rPr>
      <t>30 (TRINTA) DIAS APÓS A EXPEDIÇÃO DA ORDEM DE SERVIÇO</t>
    </r>
  </si>
  <si>
    <t>PERÍODO: 720 DIAS</t>
  </si>
  <si>
    <r>
      <t xml:space="preserve">PRAZO DE EXECUÇÃO:                </t>
    </r>
    <r>
      <rPr>
        <b/>
        <sz val="14"/>
        <rFont val="Calibri"/>
        <family val="2"/>
      </rPr>
      <t>690 dias</t>
    </r>
  </si>
  <si>
    <r>
      <rPr>
        <b/>
        <sz val="11"/>
        <rFont val="Calibri"/>
        <family val="2"/>
      </rPr>
      <t>PRAZO DE LIBERAÇÃO:</t>
    </r>
    <r>
      <rPr>
        <b/>
        <sz val="10"/>
        <rFont val="Calibri"/>
        <family val="2"/>
      </rPr>
      <t xml:space="preserve">  </t>
    </r>
    <r>
      <rPr>
        <b/>
        <sz val="11"/>
        <rFont val="Calibri"/>
        <family val="2"/>
      </rPr>
      <t xml:space="preserve">em até </t>
    </r>
    <r>
      <rPr>
        <b/>
        <sz val="14"/>
        <rFont val="Calibri"/>
        <family val="2"/>
      </rPr>
      <t>30 dias</t>
    </r>
    <r>
      <rPr>
        <b/>
        <sz val="10"/>
        <rFont val="Calibri"/>
        <family val="2"/>
      </rPr>
      <t xml:space="preserve"> após a expedição da Ordem de Início de Serviços.</t>
    </r>
  </si>
  <si>
    <t>Euclides da Cunha Paulista-SP, 05 de Novembro de 2021</t>
  </si>
  <si>
    <t>REFORMA DE QUADRA POLIESPORTIVA</t>
  </si>
  <si>
    <t>SINAP/SETEMBRO 2021 e CDHU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</si>
</sst>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_-;\-* #,##0.00_-;_-* &quot;-&quot;??_-;_-@_-"/>
    <numFmt numFmtId="164" formatCode="_-* #,##0.00_-;\-* #,##0.00_-;_-* \-??_-;_-@_-"/>
    <numFmt numFmtId="165" formatCode="_-&quot;R$ &quot;* #,##0.00_-;&quot;-R$ &quot;* #,##0.00_-;_-&quot;R$ &quot;* \-??_-;_-@_-"/>
    <numFmt numFmtId="166" formatCode="&quot;R$ &quot;#,##0.00;[Red]&quot;-R$ &quot;#,##0.00"/>
    <numFmt numFmtId="167" formatCode="mmm\-yy;@"/>
    <numFmt numFmtId="168" formatCode="_(&quot;R$ &quot;* #,##0.00_);_(&quot;R$ &quot;* \(#,##0.00\);_(&quot;R$ &quot;* \-??_);_(@_)"/>
    <numFmt numFmtId="169" formatCode="d/m/yyyy"/>
    <numFmt numFmtId="170" formatCode="_(&quot;R$&quot;* #,##0.00_);_(&quot;R$&quot;* \(#,##0.00\);_(&quot;R$&quot;* \-??_);_(@_)"/>
    <numFmt numFmtId="171" formatCode="&quot;R$ &quot;#,##0.00"/>
    <numFmt numFmtId="172" formatCode="&quot;R$&quot;#,##0.00"/>
  </numFmts>
  <fonts count="49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sz val="8"/>
      <color rgb="FF000000"/>
      <name val="Verdana"/>
      <family val="2"/>
      <charset val="1"/>
    </font>
    <font>
      <sz val="10"/>
      <color rgb="FF000000"/>
      <name val="Arial"/>
      <family val="2"/>
      <charset val="1"/>
    </font>
    <font>
      <sz val="8"/>
      <name val="Arial"/>
      <family val="2"/>
      <charset val="1"/>
    </font>
    <font>
      <sz val="12"/>
      <color rgb="FF000000"/>
      <name val="Arial"/>
      <family val="2"/>
      <charset val="1"/>
    </font>
    <font>
      <i/>
      <sz val="10"/>
      <color rgb="FF000000"/>
      <name val="Arial"/>
      <family val="2"/>
      <charset val="1"/>
    </font>
    <font>
      <b/>
      <sz val="12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2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8"/>
      <name val="Arial"/>
      <family val="2"/>
      <charset val="1"/>
    </font>
    <font>
      <b/>
      <sz val="10"/>
      <name val="Arial"/>
      <family val="2"/>
      <charset val="1"/>
    </font>
    <font>
      <b/>
      <i/>
      <sz val="11"/>
      <name val="Arial"/>
      <family val="2"/>
      <charset val="1"/>
    </font>
    <font>
      <i/>
      <sz val="11"/>
      <color rgb="FF000000"/>
      <name val="Calibri"/>
      <family val="2"/>
      <charset val="1"/>
    </font>
    <font>
      <b/>
      <i/>
      <sz val="12"/>
      <color rgb="FF000000"/>
      <name val="Calibri"/>
      <family val="2"/>
      <charset val="1"/>
    </font>
    <font>
      <b/>
      <sz val="14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4"/>
      <name val="Arial Narrow"/>
      <family val="2"/>
    </font>
    <font>
      <b/>
      <sz val="14"/>
      <name val="MS Sans Serif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b/>
      <sz val="13"/>
      <name val="Calibri"/>
      <family val="2"/>
    </font>
    <font>
      <b/>
      <sz val="11"/>
      <name val="Calibri"/>
      <family val="2"/>
    </font>
    <font>
      <b/>
      <sz val="14"/>
      <name val="Calibri"/>
      <family val="2"/>
      <scheme val="minor"/>
    </font>
    <font>
      <sz val="14"/>
      <name val="Times New Roman"/>
      <family val="1"/>
    </font>
    <font>
      <b/>
      <sz val="16"/>
      <name val="Calibri"/>
      <family val="2"/>
      <scheme val="minor"/>
    </font>
    <font>
      <b/>
      <sz val="16"/>
      <name val="Calibri"/>
      <family val="2"/>
    </font>
    <font>
      <b/>
      <u/>
      <sz val="16"/>
      <name val="Calibri"/>
      <family val="2"/>
    </font>
    <font>
      <b/>
      <sz val="10"/>
      <name val="Calibri"/>
      <family val="2"/>
    </font>
    <font>
      <b/>
      <i/>
      <sz val="12"/>
      <name val="Calibri"/>
      <family val="2"/>
      <scheme val="minor"/>
    </font>
    <font>
      <b/>
      <i/>
      <sz val="12"/>
      <name val="Times New Roman"/>
      <family val="1"/>
    </font>
    <font>
      <b/>
      <sz val="11"/>
      <color rgb="FF000000"/>
      <name val="Calibri"/>
      <family val="2"/>
    </font>
    <font>
      <b/>
      <u/>
      <sz val="26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DDDDD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FFFF99"/>
        <bgColor rgb="FFFFFFCC"/>
      </patternFill>
    </fill>
    <fill>
      <patternFill patternType="solid">
        <fgColor rgb="FFBFBFBF"/>
        <bgColor rgb="FFD9D9D9"/>
      </patternFill>
    </fill>
    <fill>
      <patternFill patternType="solid">
        <fgColor theme="0" tint="-0.249977111117893"/>
        <bgColor indexed="64"/>
      </patternFill>
    </fill>
  </fills>
  <borders count="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29" fillId="0" borderId="0" applyBorder="0" applyProtection="0"/>
    <xf numFmtId="165" fontId="29" fillId="0" borderId="0" applyBorder="0" applyProtection="0"/>
    <xf numFmtId="9" fontId="29" fillId="0" borderId="0" applyBorder="0" applyProtection="0"/>
    <xf numFmtId="0" fontId="3" fillId="2" borderId="0" applyBorder="0" applyProtection="0"/>
    <xf numFmtId="0" fontId="30" fillId="0" borderId="0"/>
    <xf numFmtId="43" fontId="1" fillId="0" borderId="0" applyFont="0" applyFill="0" applyBorder="0" applyAlignment="0" applyProtection="0"/>
  </cellStyleXfs>
  <cellXfs count="367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164" fontId="0" fillId="0" borderId="1" xfId="1" applyFont="1" applyBorder="1" applyAlignment="1" applyProtection="1"/>
    <xf numFmtId="165" fontId="0" fillId="0" borderId="1" xfId="2" applyFont="1" applyBorder="1" applyAlignment="1" applyProtection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5" fontId="0" fillId="0" borderId="1" xfId="2" applyFont="1" applyBorder="1" applyAlignment="1" applyProtection="1">
      <alignment horizontal="center" vertical="center"/>
    </xf>
    <xf numFmtId="165" fontId="0" fillId="0" borderId="0" xfId="0" applyNumberFormat="1"/>
    <xf numFmtId="0" fontId="6" fillId="0" borderId="0" xfId="0" applyFont="1"/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8" fillId="4" borderId="3" xfId="0" applyFont="1" applyFill="1" applyBorder="1"/>
    <xf numFmtId="0" fontId="2" fillId="4" borderId="3" xfId="0" applyFont="1" applyFill="1" applyBorder="1"/>
    <xf numFmtId="164" fontId="2" fillId="4" borderId="3" xfId="1" applyFont="1" applyFill="1" applyBorder="1" applyAlignment="1" applyProtection="1"/>
    <xf numFmtId="165" fontId="2" fillId="4" borderId="3" xfId="2" applyFont="1" applyFill="1" applyBorder="1" applyAlignment="1" applyProtection="1"/>
    <xf numFmtId="165" fontId="8" fillId="4" borderId="3" xfId="2" applyFont="1" applyFill="1" applyBorder="1" applyAlignment="1" applyProtection="1"/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164" fontId="0" fillId="0" borderId="3" xfId="1" applyFont="1" applyBorder="1" applyAlignment="1" applyProtection="1">
      <alignment vertical="center"/>
    </xf>
    <xf numFmtId="165" fontId="0" fillId="0" borderId="3" xfId="2" applyFont="1" applyBorder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/>
    </xf>
    <xf numFmtId="164" fontId="2" fillId="4" borderId="3" xfId="1" applyFont="1" applyFill="1" applyBorder="1" applyAlignment="1" applyProtection="1">
      <alignment vertical="center"/>
    </xf>
    <xf numFmtId="165" fontId="2" fillId="4" borderId="3" xfId="2" applyFont="1" applyFill="1" applyBorder="1" applyAlignment="1" applyProtection="1">
      <alignment horizontal="center" vertical="center"/>
    </xf>
    <xf numFmtId="165" fontId="8" fillId="4" borderId="3" xfId="2" applyFont="1" applyFill="1" applyBorder="1" applyAlignment="1" applyProtection="1">
      <alignment horizontal="center" vertical="center"/>
    </xf>
    <xf numFmtId="0" fontId="2" fillId="0" borderId="0" xfId="0" applyFont="1"/>
    <xf numFmtId="0" fontId="0" fillId="0" borderId="3" xfId="0" applyFont="1" applyBorder="1"/>
    <xf numFmtId="0" fontId="10" fillId="0" borderId="3" xfId="0" applyFont="1" applyBorder="1"/>
    <xf numFmtId="0" fontId="8" fillId="4" borderId="2" xfId="0" applyFont="1" applyFill="1" applyBorder="1" applyAlignment="1">
      <alignment horizontal="center"/>
    </xf>
    <xf numFmtId="0" fontId="0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8" fillId="4" borderId="3" xfId="0" applyFont="1" applyFill="1" applyBorder="1" applyAlignment="1">
      <alignment horizontal="center"/>
    </xf>
    <xf numFmtId="164" fontId="4" fillId="4" borderId="3" xfId="1" applyFont="1" applyFill="1" applyBorder="1" applyAlignment="1" applyProtection="1">
      <alignment vertical="center"/>
    </xf>
    <xf numFmtId="166" fontId="8" fillId="4" borderId="3" xfId="2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>
      <alignment horizontal="center"/>
    </xf>
    <xf numFmtId="49" fontId="11" fillId="0" borderId="4" xfId="0" applyNumberFormat="1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>
      <alignment horizontal="justify" vertical="center" wrapText="1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0" fillId="0" borderId="3" xfId="2" applyNumberFormat="1" applyFont="1" applyBorder="1" applyAlignment="1" applyProtection="1">
      <alignment vertical="center"/>
    </xf>
    <xf numFmtId="49" fontId="11" fillId="0" borderId="4" xfId="0" applyNumberFormat="1" applyFont="1" applyBorder="1" applyAlignment="1" applyProtection="1">
      <alignment horizontal="justify" vertical="center" wrapText="1"/>
      <protection locked="0"/>
    </xf>
    <xf numFmtId="49" fontId="11" fillId="0" borderId="4" xfId="0" applyNumberFormat="1" applyFont="1" applyBorder="1" applyAlignment="1" applyProtection="1">
      <alignment horizontal="justify" vertical="center"/>
      <protection locked="0"/>
    </xf>
    <xf numFmtId="49" fontId="11" fillId="0" borderId="3" xfId="0" applyNumberFormat="1" applyFont="1" applyBorder="1" applyAlignment="1" applyProtection="1">
      <alignment horizontal="center" vertical="center"/>
      <protection locked="0"/>
    </xf>
    <xf numFmtId="49" fontId="11" fillId="0" borderId="3" xfId="0" applyNumberFormat="1" applyFont="1" applyBorder="1" applyAlignment="1" applyProtection="1">
      <alignment horizontal="justify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0" fontId="2" fillId="5" borderId="2" xfId="0" applyFont="1" applyFill="1" applyBorder="1"/>
    <xf numFmtId="0" fontId="2" fillId="5" borderId="3" xfId="0" applyFont="1" applyFill="1" applyBorder="1"/>
    <xf numFmtId="0" fontId="15" fillId="5" borderId="3" xfId="0" applyFont="1" applyFill="1" applyBorder="1" applyAlignment="1">
      <alignment horizontal="right" vertical="center" wrapText="1"/>
    </xf>
    <xf numFmtId="9" fontId="8" fillId="5" borderId="3" xfId="3" applyFont="1" applyFill="1" applyBorder="1" applyAlignment="1" applyProtection="1">
      <alignment horizontal="left"/>
    </xf>
    <xf numFmtId="0" fontId="8" fillId="5" borderId="3" xfId="0" applyFont="1" applyFill="1" applyBorder="1"/>
    <xf numFmtId="165" fontId="8" fillId="5" borderId="5" xfId="0" applyNumberFormat="1" applyFont="1" applyFill="1" applyBorder="1"/>
    <xf numFmtId="0" fontId="16" fillId="0" borderId="6" xfId="0" applyFont="1" applyBorder="1" applyAlignment="1">
      <alignment horizontal="center" vertical="center"/>
    </xf>
    <xf numFmtId="0" fontId="0" fillId="0" borderId="0" xfId="0" applyFont="1"/>
    <xf numFmtId="0" fontId="11" fillId="0" borderId="0" xfId="0" applyFont="1" applyBorder="1" applyAlignment="1" applyProtection="1">
      <protection locked="0"/>
    </xf>
    <xf numFmtId="0" fontId="4" fillId="0" borderId="0" xfId="0" applyFont="1"/>
    <xf numFmtId="0" fontId="0" fillId="0" borderId="0" xfId="0" applyBorder="1"/>
    <xf numFmtId="0" fontId="8" fillId="3" borderId="5" xfId="0" applyFont="1" applyFill="1" applyBorder="1" applyAlignment="1">
      <alignment horizontal="center" vertical="center"/>
    </xf>
    <xf numFmtId="0" fontId="4" fillId="7" borderId="1" xfId="0" applyFont="1" applyFill="1" applyBorder="1"/>
    <xf numFmtId="167" fontId="0" fillId="0" borderId="1" xfId="0" applyNumberFormat="1" applyFont="1" applyBorder="1" applyAlignment="1">
      <alignment horizontal="center"/>
    </xf>
    <xf numFmtId="0" fontId="4" fillId="0" borderId="12" xfId="0" applyFont="1" applyBorder="1" applyAlignment="1">
      <alignment vertical="top"/>
    </xf>
    <xf numFmtId="0" fontId="4" fillId="7" borderId="10" xfId="0" applyFont="1" applyFill="1" applyBorder="1" applyAlignment="1">
      <alignment horizontal="center"/>
    </xf>
    <xf numFmtId="0" fontId="18" fillId="7" borderId="1" xfId="0" applyFont="1" applyFill="1" applyBorder="1" applyAlignment="1">
      <alignment vertical="center"/>
    </xf>
    <xf numFmtId="0" fontId="4" fillId="7" borderId="1" xfId="0" applyFont="1" applyFill="1" applyBorder="1" applyAlignment="1">
      <alignment horizontal="center"/>
    </xf>
    <xf numFmtId="0" fontId="0" fillId="0" borderId="10" xfId="0" applyBorder="1"/>
    <xf numFmtId="0" fontId="18" fillId="0" borderId="13" xfId="0" applyFont="1" applyBorder="1" applyAlignment="1">
      <alignment vertical="center"/>
    </xf>
    <xf numFmtId="0" fontId="4" fillId="0" borderId="7" xfId="0" applyFont="1" applyBorder="1"/>
    <xf numFmtId="0" fontId="4" fillId="0" borderId="8" xfId="0" applyFont="1" applyBorder="1"/>
    <xf numFmtId="0" fontId="18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1" xfId="0" applyFont="1" applyBorder="1"/>
    <xf numFmtId="0" fontId="18" fillId="0" borderId="16" xfId="0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8" fillId="0" borderId="15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17" xfId="0" applyBorder="1"/>
    <xf numFmtId="0" fontId="0" fillId="0" borderId="0" xfId="0" applyBorder="1" applyAlignment="1">
      <alignment horizontal="left"/>
    </xf>
    <xf numFmtId="168" fontId="22" fillId="0" borderId="0" xfId="2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8" xfId="0" applyBorder="1"/>
    <xf numFmtId="0" fontId="24" fillId="3" borderId="8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3" xfId="0" applyFont="1" applyFill="1" applyBorder="1" applyAlignment="1">
      <alignment horizontal="center" vertical="center" wrapText="1"/>
    </xf>
    <xf numFmtId="166" fontId="21" fillId="4" borderId="3" xfId="2" applyNumberFormat="1" applyFont="1" applyFill="1" applyBorder="1" applyAlignment="1" applyProtection="1">
      <alignment horizontal="center" vertical="center"/>
    </xf>
    <xf numFmtId="0" fontId="0" fillId="0" borderId="5" xfId="0" applyBorder="1"/>
    <xf numFmtId="164" fontId="0" fillId="0" borderId="3" xfId="2" applyNumberFormat="1" applyFont="1" applyBorder="1" applyAlignment="1" applyProtection="1">
      <alignment vertical="center"/>
    </xf>
    <xf numFmtId="10" fontId="5" fillId="0" borderId="9" xfId="2" applyNumberFormat="1" applyFont="1" applyBorder="1" applyAlignment="1" applyProtection="1"/>
    <xf numFmtId="165" fontId="5" fillId="0" borderId="5" xfId="2" applyFont="1" applyBorder="1" applyAlignment="1" applyProtection="1"/>
    <xf numFmtId="165" fontId="15" fillId="0" borderId="25" xfId="2" applyFont="1" applyBorder="1" applyAlignment="1" applyProtection="1"/>
    <xf numFmtId="0" fontId="17" fillId="0" borderId="3" xfId="0" applyFont="1" applyBorder="1" applyAlignment="1">
      <alignment horizontal="center" vertical="center"/>
    </xf>
    <xf numFmtId="169" fontId="24" fillId="0" borderId="3" xfId="0" applyNumberFormat="1" applyFont="1" applyBorder="1" applyAlignment="1">
      <alignment horizontal="center" vertical="center"/>
    </xf>
    <xf numFmtId="10" fontId="15" fillId="0" borderId="3" xfId="0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0" fontId="17" fillId="0" borderId="3" xfId="0" applyNumberFormat="1" applyFont="1" applyBorder="1" applyAlignment="1">
      <alignment vertical="center"/>
    </xf>
    <xf numFmtId="0" fontId="15" fillId="3" borderId="29" xfId="0" applyFont="1" applyFill="1" applyBorder="1"/>
    <xf numFmtId="0" fontId="15" fillId="3" borderId="33" xfId="0" applyFont="1" applyFill="1" applyBorder="1"/>
    <xf numFmtId="0" fontId="15" fillId="3" borderId="2" xfId="0" applyFont="1" applyFill="1" applyBorder="1"/>
    <xf numFmtId="165" fontId="8" fillId="4" borderId="5" xfId="2" applyFont="1" applyFill="1" applyBorder="1" applyAlignment="1" applyProtection="1"/>
    <xf numFmtId="0" fontId="0" fillId="0" borderId="29" xfId="0" applyFont="1" applyBorder="1"/>
    <xf numFmtId="0" fontId="0" fillId="0" borderId="25" xfId="0" applyFont="1" applyBorder="1"/>
    <xf numFmtId="0" fontId="0" fillId="0" borderId="29" xfId="0" applyBorder="1"/>
    <xf numFmtId="165" fontId="0" fillId="0" borderId="5" xfId="2" applyFont="1" applyBorder="1" applyAlignment="1" applyProtection="1">
      <alignment horizontal="center" vertical="center"/>
    </xf>
    <xf numFmtId="10" fontId="25" fillId="0" borderId="29" xfId="3" applyNumberFormat="1" applyFont="1" applyBorder="1" applyAlignment="1" applyProtection="1"/>
    <xf numFmtId="165" fontId="25" fillId="0" borderId="25" xfId="2" applyFont="1" applyBorder="1" applyAlignment="1" applyProtection="1"/>
    <xf numFmtId="10" fontId="5" fillId="0" borderId="2" xfId="2" applyNumberFormat="1" applyFont="1" applyBorder="1" applyAlignment="1" applyProtection="1"/>
    <xf numFmtId="165" fontId="5" fillId="0" borderId="34" xfId="2" applyFont="1" applyBorder="1" applyAlignment="1" applyProtection="1"/>
    <xf numFmtId="165" fontId="8" fillId="4" borderId="5" xfId="2" applyFont="1" applyFill="1" applyBorder="1" applyAlignment="1" applyProtection="1">
      <alignment horizontal="center" vertical="center"/>
    </xf>
    <xf numFmtId="0" fontId="26" fillId="0" borderId="35" xfId="0" applyFont="1" applyBorder="1"/>
    <xf numFmtId="0" fontId="26" fillId="0" borderId="36" xfId="0" applyFont="1" applyBorder="1"/>
    <xf numFmtId="10" fontId="27" fillId="5" borderId="30" xfId="3" applyNumberFormat="1" applyFont="1" applyFill="1" applyBorder="1" applyAlignment="1" applyProtection="1"/>
    <xf numFmtId="165" fontId="27" fillId="5" borderId="37" xfId="0" applyNumberFormat="1" applyFont="1" applyFill="1" applyBorder="1"/>
    <xf numFmtId="10" fontId="8" fillId="5" borderId="24" xfId="3" applyNumberFormat="1" applyFont="1" applyFill="1" applyBorder="1" applyAlignment="1" applyProtection="1"/>
    <xf numFmtId="0" fontId="15" fillId="5" borderId="27" xfId="0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0" fontId="19" fillId="5" borderId="29" xfId="0" applyFont="1" applyFill="1" applyBorder="1" applyAlignment="1">
      <alignment horizontal="center" vertical="center" wrapText="1"/>
    </xf>
    <xf numFmtId="169" fontId="24" fillId="5" borderId="3" xfId="0" applyNumberFormat="1" applyFont="1" applyFill="1" applyBorder="1" applyAlignment="1">
      <alignment horizontal="center" vertical="center"/>
    </xf>
    <xf numFmtId="10" fontId="15" fillId="5" borderId="3" xfId="0" applyNumberFormat="1" applyFont="1" applyFill="1" applyBorder="1" applyAlignment="1">
      <alignment vertical="center"/>
    </xf>
    <xf numFmtId="170" fontId="15" fillId="5" borderId="5" xfId="2" applyNumberFormat="1" applyFont="1" applyFill="1" applyBorder="1" applyAlignment="1" applyProtection="1">
      <alignment horizontal="center" vertical="center"/>
    </xf>
    <xf numFmtId="170" fontId="15" fillId="5" borderId="33" xfId="2" applyNumberFormat="1" applyFont="1" applyFill="1" applyBorder="1" applyAlignment="1" applyProtection="1">
      <alignment horizontal="center" vertical="center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vertical="center"/>
    </xf>
    <xf numFmtId="10" fontId="17" fillId="5" borderId="3" xfId="0" applyNumberFormat="1" applyFont="1" applyFill="1" applyBorder="1" applyAlignment="1">
      <alignment vertical="center"/>
    </xf>
    <xf numFmtId="0" fontId="17" fillId="5" borderId="30" xfId="0" applyFont="1" applyFill="1" applyBorder="1" applyAlignment="1">
      <alignment horizontal="right" vertical="center" wrapText="1"/>
    </xf>
    <xf numFmtId="0" fontId="17" fillId="5" borderId="31" xfId="0" applyFont="1" applyFill="1" applyBorder="1" applyAlignment="1">
      <alignment vertical="center"/>
    </xf>
    <xf numFmtId="10" fontId="17" fillId="5" borderId="31" xfId="0" applyNumberFormat="1" applyFont="1" applyFill="1" applyBorder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center"/>
    </xf>
    <xf numFmtId="0" fontId="24" fillId="0" borderId="0" xfId="0" applyFont="1"/>
    <xf numFmtId="0" fontId="28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15" fillId="8" borderId="2" xfId="0" applyFont="1" applyFill="1" applyBorder="1"/>
    <xf numFmtId="0" fontId="15" fillId="8" borderId="9" xfId="0" applyFont="1" applyFill="1" applyBorder="1"/>
    <xf numFmtId="0" fontId="15" fillId="8" borderId="29" xfId="0" applyFont="1" applyFill="1" applyBorder="1"/>
    <xf numFmtId="0" fontId="15" fillId="8" borderId="33" xfId="0" applyFont="1" applyFill="1" applyBorder="1"/>
    <xf numFmtId="0" fontId="15" fillId="0" borderId="0" xfId="0" applyFont="1"/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171" fontId="11" fillId="0" borderId="1" xfId="0" applyNumberFormat="1" applyFont="1" applyBorder="1" applyAlignment="1">
      <alignment horizontal="center" vertical="distributed" wrapText="1"/>
    </xf>
    <xf numFmtId="10" fontId="15" fillId="0" borderId="24" xfId="3" applyNumberFormat="1" applyFont="1" applyBorder="1" applyAlignment="1" applyProtection="1"/>
    <xf numFmtId="0" fontId="5" fillId="0" borderId="3" xfId="0" applyFont="1" applyBorder="1"/>
    <xf numFmtId="0" fontId="5" fillId="8" borderId="3" xfId="0" applyFont="1" applyFill="1" applyBorder="1"/>
    <xf numFmtId="0" fontId="24" fillId="8" borderId="2" xfId="0" applyFont="1" applyFill="1" applyBorder="1" applyAlignment="1">
      <alignment horizontal="center" vertical="center"/>
    </xf>
    <xf numFmtId="0" fontId="24" fillId="8" borderId="3" xfId="0" applyFont="1" applyFill="1" applyBorder="1" applyAlignment="1">
      <alignment horizontal="justify" vertical="center" wrapText="1"/>
    </xf>
    <xf numFmtId="2" fontId="5" fillId="8" borderId="3" xfId="0" applyNumberFormat="1" applyFont="1" applyFill="1" applyBorder="1" applyAlignment="1">
      <alignment horizontal="right" vertical="center"/>
    </xf>
    <xf numFmtId="4" fontId="5" fillId="8" borderId="3" xfId="0" applyNumberFormat="1" applyFont="1" applyFill="1" applyBorder="1" applyAlignment="1">
      <alignment horizontal="right" vertical="center"/>
    </xf>
    <xf numFmtId="165" fontId="24" fillId="8" borderId="5" xfId="0" applyNumberFormat="1" applyFont="1" applyFill="1" applyBorder="1"/>
    <xf numFmtId="165" fontId="15" fillId="8" borderId="35" xfId="0" applyNumberFormat="1" applyFont="1" applyFill="1" applyBorder="1"/>
    <xf numFmtId="165" fontId="15" fillId="8" borderId="36" xfId="0" applyNumberFormat="1" applyFont="1" applyFill="1" applyBorder="1"/>
    <xf numFmtId="165" fontId="24" fillId="8" borderId="0" xfId="0" applyNumberFormat="1" applyFont="1" applyFill="1" applyBorder="1"/>
    <xf numFmtId="0" fontId="5" fillId="0" borderId="2" xfId="0" applyFont="1" applyBorder="1"/>
    <xf numFmtId="164" fontId="0" fillId="0" borderId="3" xfId="1" applyFont="1" applyBorder="1" applyAlignment="1" applyProtection="1"/>
    <xf numFmtId="165" fontId="5" fillId="0" borderId="9" xfId="2" applyFont="1" applyBorder="1" applyAlignment="1" applyProtection="1"/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/>
    <xf numFmtId="165" fontId="4" fillId="8" borderId="3" xfId="2" applyFont="1" applyFill="1" applyBorder="1" applyAlignment="1" applyProtection="1"/>
    <xf numFmtId="0" fontId="0" fillId="0" borderId="3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justify" vertical="center" wrapText="1"/>
    </xf>
    <xf numFmtId="2" fontId="5" fillId="0" borderId="38" xfId="0" applyNumberFormat="1" applyFont="1" applyBorder="1" applyAlignment="1">
      <alignment horizontal="right" vertical="center"/>
    </xf>
    <xf numFmtId="4" fontId="5" fillId="0" borderId="9" xfId="0" applyNumberFormat="1" applyFont="1" applyBorder="1" applyAlignment="1">
      <alignment horizontal="right" vertical="center"/>
    </xf>
    <xf numFmtId="0" fontId="15" fillId="0" borderId="35" xfId="0" applyFont="1" applyBorder="1"/>
    <xf numFmtId="0" fontId="15" fillId="0" borderId="36" xfId="0" applyFont="1" applyBorder="1"/>
    <xf numFmtId="0" fontId="15" fillId="9" borderId="9" xfId="0" applyFont="1" applyFill="1" applyBorder="1"/>
    <xf numFmtId="4" fontId="24" fillId="9" borderId="5" xfId="0" applyNumberFormat="1" applyFont="1" applyFill="1" applyBorder="1" applyAlignment="1">
      <alignment horizontal="right" vertical="center"/>
    </xf>
    <xf numFmtId="165" fontId="24" fillId="9" borderId="9" xfId="2" applyFont="1" applyFill="1" applyBorder="1" applyAlignment="1" applyProtection="1"/>
    <xf numFmtId="10" fontId="15" fillId="9" borderId="30" xfId="3" applyNumberFormat="1" applyFont="1" applyFill="1" applyBorder="1" applyAlignment="1" applyProtection="1"/>
    <xf numFmtId="165" fontId="15" fillId="9" borderId="32" xfId="2" applyFont="1" applyFill="1" applyBorder="1" applyAlignment="1" applyProtection="1"/>
    <xf numFmtId="10" fontId="24" fillId="9" borderId="2" xfId="3" applyNumberFormat="1" applyFont="1" applyFill="1" applyBorder="1" applyAlignment="1" applyProtection="1"/>
    <xf numFmtId="165" fontId="24" fillId="9" borderId="5" xfId="2" applyFont="1" applyFill="1" applyBorder="1" applyAlignment="1" applyProtection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15" fillId="0" borderId="40" xfId="0" applyFont="1" applyBorder="1" applyAlignment="1">
      <alignment vertical="center"/>
    </xf>
    <xf numFmtId="0" fontId="2" fillId="0" borderId="4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7" fillId="0" borderId="3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19" fillId="0" borderId="19" xfId="0" applyFont="1" applyBorder="1" applyAlignment="1">
      <alignment horizontal="center" vertical="center" wrapText="1"/>
    </xf>
    <xf numFmtId="170" fontId="15" fillId="0" borderId="34" xfId="2" applyNumberFormat="1" applyFont="1" applyBorder="1" applyAlignment="1" applyProtection="1">
      <alignment vertical="center"/>
    </xf>
    <xf numFmtId="170" fontId="23" fillId="0" borderId="0" xfId="2" applyNumberFormat="1" applyFont="1" applyBorder="1" applyAlignment="1" applyProtection="1">
      <alignment vertical="center"/>
    </xf>
    <xf numFmtId="0" fontId="17" fillId="0" borderId="19" xfId="0" applyFont="1" applyBorder="1" applyAlignment="1">
      <alignment horizontal="right" vertical="center" wrapText="1"/>
    </xf>
    <xf numFmtId="170" fontId="17" fillId="0" borderId="34" xfId="0" applyNumberFormat="1" applyFont="1" applyBorder="1" applyAlignment="1">
      <alignment vertical="center"/>
    </xf>
    <xf numFmtId="170" fontId="12" fillId="0" borderId="0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42" xfId="0" applyFont="1" applyBorder="1" applyAlignment="1">
      <alignment horizontal="right" vertical="center" wrapText="1"/>
    </xf>
    <xf numFmtId="0" fontId="17" fillId="0" borderId="43" xfId="0" applyFont="1" applyBorder="1" applyAlignment="1">
      <alignment vertical="center"/>
    </xf>
    <xf numFmtId="10" fontId="17" fillId="0" borderId="43" xfId="0" applyNumberFormat="1" applyFont="1" applyBorder="1" applyAlignment="1">
      <alignment vertical="center"/>
    </xf>
    <xf numFmtId="170" fontId="17" fillId="0" borderId="44" xfId="0" applyNumberFormat="1" applyFont="1" applyBorder="1" applyAlignment="1">
      <alignment vertical="center"/>
    </xf>
    <xf numFmtId="0" fontId="0" fillId="0" borderId="0" xfId="0" applyAlignment="1">
      <alignment vertical="center" wrapText="1"/>
    </xf>
    <xf numFmtId="10" fontId="0" fillId="0" borderId="45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Alignment="1">
      <alignment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/>
    <xf numFmtId="164" fontId="0" fillId="0" borderId="47" xfId="1" applyFont="1" applyBorder="1" applyAlignment="1" applyProtection="1"/>
    <xf numFmtId="0" fontId="0" fillId="0" borderId="47" xfId="0" applyBorder="1"/>
    <xf numFmtId="0" fontId="0" fillId="0" borderId="46" xfId="0" applyFont="1" applyBorder="1" applyAlignment="1">
      <alignment horizontal="center" vertical="center"/>
    </xf>
    <xf numFmtId="0" fontId="0" fillId="0" borderId="47" xfId="0" applyFont="1" applyBorder="1" applyAlignment="1">
      <alignment vertical="center" wrapText="1"/>
    </xf>
    <xf numFmtId="0" fontId="10" fillId="0" borderId="0" xfId="0" applyFont="1"/>
    <xf numFmtId="0" fontId="4" fillId="0" borderId="46" xfId="0" applyFont="1" applyBorder="1" applyAlignment="1">
      <alignment horizontal="center"/>
    </xf>
    <xf numFmtId="0" fontId="0" fillId="0" borderId="47" xfId="0" applyFont="1" applyBorder="1" applyAlignment="1">
      <alignment wrapText="1"/>
    </xf>
    <xf numFmtId="0" fontId="0" fillId="0" borderId="47" xfId="0" applyFont="1" applyBorder="1" applyAlignment="1">
      <alignment horizontal="center" vertical="center"/>
    </xf>
    <xf numFmtId="0" fontId="31" fillId="0" borderId="0" xfId="0" applyFont="1"/>
    <xf numFmtId="0" fontId="31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5" fillId="0" borderId="54" xfId="0" applyFont="1" applyBorder="1" applyAlignment="1">
      <alignment horizontal="center"/>
    </xf>
    <xf numFmtId="0" fontId="35" fillId="0" borderId="55" xfId="0" applyFont="1" applyBorder="1" applyAlignment="1">
      <alignment horizontal="center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center" vertical="center"/>
    </xf>
    <xf numFmtId="49" fontId="35" fillId="0" borderId="0" xfId="0" applyNumberFormat="1" applyFont="1" applyAlignment="1">
      <alignment horizontal="left" vertical="center"/>
    </xf>
    <xf numFmtId="4" fontId="35" fillId="0" borderId="0" xfId="0" applyNumberFormat="1" applyFont="1" applyAlignment="1">
      <alignment horizontal="center"/>
    </xf>
    <xf numFmtId="0" fontId="39" fillId="0" borderId="35" xfId="0" applyFont="1" applyBorder="1" applyAlignment="1">
      <alignment horizontal="center"/>
    </xf>
    <xf numFmtId="0" fontId="40" fillId="0" borderId="35" xfId="0" applyFont="1" applyBorder="1"/>
    <xf numFmtId="0" fontId="39" fillId="0" borderId="0" xfId="0" applyFont="1" applyBorder="1" applyAlignment="1">
      <alignment horizontal="center"/>
    </xf>
    <xf numFmtId="0" fontId="39" fillId="0" borderId="36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32" fillId="0" borderId="0" xfId="0" applyFont="1" applyBorder="1"/>
    <xf numFmtId="0" fontId="40" fillId="0" borderId="36" xfId="0" applyFont="1" applyBorder="1"/>
    <xf numFmtId="0" fontId="35" fillId="0" borderId="51" xfId="0" applyFont="1" applyBorder="1" applyAlignment="1">
      <alignment horizontal="left"/>
    </xf>
    <xf numFmtId="0" fontId="36" fillId="0" borderId="56" xfId="0" applyFont="1" applyBorder="1" applyAlignment="1">
      <alignment horizontal="left"/>
    </xf>
    <xf numFmtId="0" fontId="0" fillId="0" borderId="0" xfId="0" quotePrefix="1"/>
    <xf numFmtId="0" fontId="33" fillId="0" borderId="0" xfId="0" applyFont="1" applyBorder="1" applyAlignment="1">
      <alignment horizontal="center" vertical="center"/>
    </xf>
    <xf numFmtId="0" fontId="27" fillId="0" borderId="0" xfId="0" applyFont="1"/>
    <xf numFmtId="0" fontId="46" fillId="0" borderId="55" xfId="0" applyFont="1" applyBorder="1" applyAlignment="1">
      <alignment horizontal="center" vertical="center"/>
    </xf>
    <xf numFmtId="0" fontId="35" fillId="0" borderId="61" xfId="0" applyFont="1" applyBorder="1" applyAlignment="1">
      <alignment horizontal="left"/>
    </xf>
    <xf numFmtId="49" fontId="36" fillId="0" borderId="63" xfId="0" applyNumberFormat="1" applyFont="1" applyBorder="1" applyAlignment="1">
      <alignment horizontal="left"/>
    </xf>
    <xf numFmtId="0" fontId="35" fillId="0" borderId="66" xfId="0" applyFont="1" applyBorder="1" applyAlignment="1">
      <alignment horizontal="center"/>
    </xf>
    <xf numFmtId="0" fontId="35" fillId="0" borderId="53" xfId="0" applyFont="1" applyBorder="1" applyAlignment="1"/>
    <xf numFmtId="0" fontId="47" fillId="0" borderId="0" xfId="0" applyFont="1" applyAlignment="1"/>
    <xf numFmtId="0" fontId="35" fillId="0" borderId="35" xfId="0" applyFont="1" applyBorder="1" applyAlignment="1">
      <alignment horizontal="left"/>
    </xf>
    <xf numFmtId="0" fontId="35" fillId="0" borderId="54" xfId="0" applyFont="1" applyBorder="1" applyAlignment="1">
      <alignment horizontal="left"/>
    </xf>
    <xf numFmtId="0" fontId="35" fillId="0" borderId="36" xfId="0" applyFont="1" applyBorder="1" applyAlignment="1"/>
    <xf numFmtId="4" fontId="42" fillId="0" borderId="67" xfId="0" applyNumberFormat="1" applyFont="1" applyBorder="1" applyAlignment="1">
      <alignment horizontal="center"/>
    </xf>
    <xf numFmtId="4" fontId="42" fillId="0" borderId="65" xfId="0" applyNumberFormat="1" applyFont="1" applyBorder="1" applyAlignment="1">
      <alignment horizontal="center"/>
    </xf>
    <xf numFmtId="0" fontId="42" fillId="0" borderId="17" xfId="0" applyFont="1" applyBorder="1" applyAlignment="1">
      <alignment horizontal="center"/>
    </xf>
    <xf numFmtId="0" fontId="42" fillId="0" borderId="7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/>
    </xf>
    <xf numFmtId="4" fontId="4" fillId="7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4" fontId="0" fillId="0" borderId="1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4" fillId="7" borderId="1" xfId="0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/>
    </xf>
    <xf numFmtId="0" fontId="18" fillId="7" borderId="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20" fillId="6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7" borderId="10" xfId="0" applyFont="1" applyFill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/>
    </xf>
    <xf numFmtId="0" fontId="48" fillId="10" borderId="48" xfId="0" applyFont="1" applyFill="1" applyBorder="1" applyAlignment="1">
      <alignment horizontal="center" vertical="center"/>
    </xf>
    <xf numFmtId="0" fontId="48" fillId="10" borderId="49" xfId="0" applyFont="1" applyFill="1" applyBorder="1" applyAlignment="1">
      <alignment horizontal="center" vertical="center"/>
    </xf>
    <xf numFmtId="0" fontId="48" fillId="10" borderId="50" xfId="0" applyFont="1" applyFill="1" applyBorder="1" applyAlignment="1">
      <alignment horizontal="center" vertical="center"/>
    </xf>
    <xf numFmtId="0" fontId="42" fillId="0" borderId="51" xfId="0" applyFont="1" applyBorder="1"/>
    <xf numFmtId="0" fontId="42" fillId="0" borderId="52" xfId="0" applyFont="1" applyBorder="1"/>
    <xf numFmtId="0" fontId="42" fillId="0" borderId="53" xfId="0" applyFont="1" applyBorder="1"/>
    <xf numFmtId="0" fontId="35" fillId="0" borderId="51" xfId="0" applyFont="1" applyBorder="1" applyAlignment="1">
      <alignment horizontal="left"/>
    </xf>
    <xf numFmtId="0" fontId="35" fillId="0" borderId="52" xfId="0" applyFont="1" applyBorder="1" applyAlignment="1">
      <alignment horizontal="left"/>
    </xf>
    <xf numFmtId="0" fontId="42" fillId="0" borderId="35" xfId="0" applyFont="1" applyBorder="1"/>
    <xf numFmtId="0" fontId="42" fillId="0" borderId="0" xfId="0" applyFont="1"/>
    <xf numFmtId="0" fontId="42" fillId="0" borderId="36" xfId="0" applyFont="1" applyBorder="1"/>
    <xf numFmtId="0" fontId="42" fillId="0" borderId="35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37" fillId="0" borderId="54" xfId="0" applyFont="1" applyBorder="1"/>
    <xf numFmtId="0" fontId="37" fillId="0" borderId="55" xfId="0" applyFont="1" applyBorder="1"/>
    <xf numFmtId="0" fontId="37" fillId="0" borderId="56" xfId="0" applyFont="1" applyBorder="1"/>
    <xf numFmtId="0" fontId="35" fillId="0" borderId="51" xfId="0" applyFont="1" applyBorder="1" applyAlignment="1"/>
    <xf numFmtId="0" fontId="35" fillId="0" borderId="52" xfId="0" applyFont="1" applyBorder="1" applyAlignment="1"/>
    <xf numFmtId="0" fontId="42" fillId="0" borderId="35" xfId="0" applyFont="1" applyBorder="1" applyAlignment="1">
      <alignment horizontal="left" vertical="top" wrapText="1"/>
    </xf>
    <xf numFmtId="0" fontId="42" fillId="0" borderId="0" xfId="0" applyFont="1" applyAlignment="1">
      <alignment horizontal="left" vertical="top" wrapText="1"/>
    </xf>
    <xf numFmtId="0" fontId="42" fillId="0" borderId="0" xfId="0" applyFont="1" applyBorder="1" applyAlignment="1">
      <alignment horizontal="left" vertical="top" wrapText="1"/>
    </xf>
    <xf numFmtId="0" fontId="42" fillId="0" borderId="54" xfId="0" applyFont="1" applyBorder="1" applyAlignment="1">
      <alignment horizontal="left" vertical="top" wrapText="1"/>
    </xf>
    <xf numFmtId="0" fontId="42" fillId="0" borderId="55" xfId="0" applyFont="1" applyBorder="1" applyAlignment="1">
      <alignment horizontal="left" vertical="top" wrapText="1"/>
    </xf>
    <xf numFmtId="0" fontId="42" fillId="0" borderId="70" xfId="0" applyFont="1" applyBorder="1" applyAlignment="1">
      <alignment horizontal="center" vertical="center"/>
    </xf>
    <xf numFmtId="0" fontId="42" fillId="0" borderId="71" xfId="0" applyFont="1" applyBorder="1" applyAlignment="1">
      <alignment horizontal="center" vertical="center"/>
    </xf>
    <xf numFmtId="0" fontId="42" fillId="0" borderId="62" xfId="0" applyFont="1" applyBorder="1" applyAlignment="1">
      <alignment horizontal="center" vertical="center"/>
    </xf>
    <xf numFmtId="0" fontId="42" fillId="0" borderId="67" xfId="0" applyFont="1" applyBorder="1" applyAlignment="1">
      <alignment horizontal="center" vertical="center"/>
    </xf>
    <xf numFmtId="0" fontId="36" fillId="0" borderId="73" xfId="0" applyFont="1" applyBorder="1" applyAlignment="1">
      <alignment horizontal="center" vertical="center"/>
    </xf>
    <xf numFmtId="0" fontId="36" fillId="0" borderId="17" xfId="0" applyFont="1" applyBorder="1" applyAlignment="1">
      <alignment horizontal="center" vertical="center"/>
    </xf>
    <xf numFmtId="0" fontId="42" fillId="0" borderId="20" xfId="0" applyFont="1" applyBorder="1" applyAlignment="1">
      <alignment horizontal="center"/>
    </xf>
    <xf numFmtId="0" fontId="42" fillId="0" borderId="23" xfId="0" applyFont="1" applyBorder="1" applyAlignment="1">
      <alignment horizontal="center"/>
    </xf>
    <xf numFmtId="0" fontId="43" fillId="0" borderId="62" xfId="0" applyFont="1" applyBorder="1" applyAlignment="1">
      <alignment horizontal="center" vertical="center"/>
    </xf>
    <xf numFmtId="0" fontId="43" fillId="0" borderId="67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/>
    </xf>
    <xf numFmtId="0" fontId="42" fillId="0" borderId="22" xfId="0" applyFont="1" applyBorder="1" applyAlignment="1">
      <alignment horizontal="center"/>
    </xf>
    <xf numFmtId="0" fontId="44" fillId="0" borderId="68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38" fillId="0" borderId="22" xfId="0" applyFont="1" applyBorder="1" applyAlignment="1">
      <alignment horizontal="center" vertical="center" wrapText="1"/>
    </xf>
    <xf numFmtId="0" fontId="42" fillId="0" borderId="67" xfId="0" applyFont="1" applyBorder="1" applyAlignment="1">
      <alignment horizontal="left" vertical="center" wrapText="1"/>
    </xf>
    <xf numFmtId="4" fontId="42" fillId="0" borderId="21" xfId="0" applyNumberFormat="1" applyFont="1" applyBorder="1" applyAlignment="1">
      <alignment horizontal="center"/>
    </xf>
    <xf numFmtId="4" fontId="42" fillId="0" borderId="22" xfId="0" applyNumberFormat="1" applyFont="1" applyBorder="1" applyAlignment="1">
      <alignment horizontal="center"/>
    </xf>
    <xf numFmtId="0" fontId="42" fillId="0" borderId="72" xfId="0" applyFont="1" applyBorder="1" applyAlignment="1">
      <alignment horizontal="center" vertical="center"/>
    </xf>
    <xf numFmtId="0" fontId="42" fillId="0" borderId="67" xfId="0" applyFont="1" applyBorder="1" applyAlignment="1">
      <alignment horizontal="left" vertical="center"/>
    </xf>
    <xf numFmtId="0" fontId="42" fillId="0" borderId="65" xfId="0" applyFont="1" applyBorder="1" applyAlignment="1">
      <alignment horizontal="left" vertical="center"/>
    </xf>
    <xf numFmtId="4" fontId="42" fillId="0" borderId="58" xfId="0" applyNumberFormat="1" applyFont="1" applyBorder="1" applyAlignment="1">
      <alignment horizontal="center"/>
    </xf>
    <xf numFmtId="4" fontId="42" fillId="0" borderId="60" xfId="0" applyNumberFormat="1" applyFont="1" applyBorder="1" applyAlignment="1">
      <alignment horizontal="center"/>
    </xf>
    <xf numFmtId="172" fontId="42" fillId="0" borderId="62" xfId="0" applyNumberFormat="1" applyFont="1" applyBorder="1" applyAlignment="1">
      <alignment horizontal="center" vertical="center"/>
    </xf>
    <xf numFmtId="172" fontId="42" fillId="0" borderId="64" xfId="0" applyNumberFormat="1" applyFont="1" applyBorder="1" applyAlignment="1">
      <alignment horizontal="center" vertical="center"/>
    </xf>
    <xf numFmtId="0" fontId="41" fillId="0" borderId="61" xfId="0" applyFont="1" applyBorder="1" applyAlignment="1">
      <alignment horizontal="left" vertical="center"/>
    </xf>
    <xf numFmtId="0" fontId="41" fillId="0" borderId="51" xfId="0" applyFont="1" applyBorder="1" applyAlignment="1">
      <alignment horizontal="left" vertical="center"/>
    </xf>
    <xf numFmtId="0" fontId="41" fillId="0" borderId="63" xfId="0" applyFont="1" applyBorder="1" applyAlignment="1">
      <alignment horizontal="left" vertical="center"/>
    </xf>
    <xf numFmtId="0" fontId="41" fillId="0" borderId="35" xfId="0" applyFont="1" applyBorder="1" applyAlignment="1">
      <alignment horizontal="left" vertical="center"/>
    </xf>
    <xf numFmtId="0" fontId="41" fillId="0" borderId="61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172" fontId="41" fillId="0" borderId="75" xfId="0" applyNumberFormat="1" applyFont="1" applyBorder="1" applyAlignment="1">
      <alignment horizontal="center" vertical="center"/>
    </xf>
    <xf numFmtId="172" fontId="41" fillId="0" borderId="62" xfId="0" applyNumberFormat="1" applyFont="1" applyBorder="1" applyAlignment="1">
      <alignment horizontal="center" vertical="center"/>
    </xf>
    <xf numFmtId="172" fontId="41" fillId="0" borderId="76" xfId="0" applyNumberFormat="1" applyFont="1" applyBorder="1" applyAlignment="1">
      <alignment horizontal="center" vertical="center"/>
    </xf>
    <xf numFmtId="172" fontId="41" fillId="0" borderId="64" xfId="0" applyNumberFormat="1" applyFont="1" applyBorder="1" applyAlignment="1">
      <alignment horizontal="center" vertical="center"/>
    </xf>
    <xf numFmtId="0" fontId="41" fillId="0" borderId="52" xfId="0" applyFont="1" applyBorder="1" applyAlignment="1">
      <alignment horizontal="left" vertical="center"/>
    </xf>
    <xf numFmtId="0" fontId="41" fillId="0" borderId="54" xfId="0" applyFont="1" applyBorder="1" applyAlignment="1">
      <alignment horizontal="left" vertical="center"/>
    </xf>
    <xf numFmtId="0" fontId="41" fillId="0" borderId="55" xfId="0" applyFont="1" applyBorder="1" applyAlignment="1">
      <alignment horizontal="left" vertical="center"/>
    </xf>
    <xf numFmtId="0" fontId="41" fillId="0" borderId="66" xfId="0" applyFont="1" applyBorder="1" applyAlignment="1">
      <alignment horizontal="center" vertical="center"/>
    </xf>
    <xf numFmtId="172" fontId="41" fillId="0" borderId="77" xfId="0" applyNumberFormat="1" applyFont="1" applyBorder="1" applyAlignment="1">
      <alignment horizontal="center" vertical="center"/>
    </xf>
    <xf numFmtId="172" fontId="41" fillId="0" borderId="57" xfId="0" applyNumberFormat="1" applyFont="1" applyBorder="1" applyAlignment="1">
      <alignment horizontal="center" vertical="center"/>
    </xf>
    <xf numFmtId="172" fontId="41" fillId="0" borderId="78" xfId="0" applyNumberFormat="1" applyFont="1" applyBorder="1" applyAlignment="1">
      <alignment horizontal="center" vertical="center"/>
    </xf>
    <xf numFmtId="172" fontId="41" fillId="0" borderId="59" xfId="0" applyNumberFormat="1" applyFont="1" applyBorder="1" applyAlignment="1">
      <alignment horizontal="center" vertical="center"/>
    </xf>
    <xf numFmtId="0" fontId="39" fillId="0" borderId="51" xfId="0" applyFont="1" applyBorder="1" applyAlignment="1">
      <alignment horizontal="center"/>
    </xf>
    <xf numFmtId="0" fontId="39" fillId="0" borderId="52" xfId="0" applyFont="1" applyBorder="1" applyAlignment="1">
      <alignment horizontal="center"/>
    </xf>
    <xf numFmtId="0" fontId="39" fillId="0" borderId="53" xfId="0" applyFont="1" applyBorder="1" applyAlignment="1">
      <alignment horizontal="center"/>
    </xf>
    <xf numFmtId="0" fontId="39" fillId="0" borderId="35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45" fillId="0" borderId="54" xfId="0" applyFont="1" applyBorder="1" applyAlignment="1">
      <alignment horizontal="center" vertical="center"/>
    </xf>
    <xf numFmtId="0" fontId="45" fillId="0" borderId="55" xfId="0" applyFont="1" applyBorder="1" applyAlignment="1">
      <alignment horizontal="center" vertical="center"/>
    </xf>
    <xf numFmtId="172" fontId="42" fillId="0" borderId="65" xfId="0" applyNumberFormat="1" applyFont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0" fontId="45" fillId="0" borderId="56" xfId="0" applyFont="1" applyBorder="1" applyAlignment="1">
      <alignment horizontal="center" vertical="center"/>
    </xf>
    <xf numFmtId="170" fontId="17" fillId="5" borderId="25" xfId="0" applyNumberFormat="1" applyFont="1" applyFill="1" applyBorder="1" applyAlignment="1">
      <alignment horizontal="center" vertical="center"/>
    </xf>
    <xf numFmtId="170" fontId="17" fillId="5" borderId="32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170" fontId="15" fillId="5" borderId="25" xfId="2" applyNumberFormat="1" applyFont="1" applyFill="1" applyBorder="1" applyAlignment="1" applyProtection="1">
      <alignment horizontal="center" vertical="center"/>
    </xf>
    <xf numFmtId="0" fontId="24" fillId="9" borderId="2" xfId="0" applyFont="1" applyFill="1" applyBorder="1" applyAlignment="1">
      <alignment horizontal="right" vertical="center"/>
    </xf>
    <xf numFmtId="0" fontId="19" fillId="0" borderId="3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center" vertical="center"/>
    </xf>
  </cellXfs>
  <cellStyles count="7">
    <cellStyle name="Moeda" xfId="2" builtinId="4"/>
    <cellStyle name="Normal" xfId="0" builtinId="0"/>
    <cellStyle name="Normal 2_3_-_PLANILHA_MODELO_e_Boletim_CPOS_157" xfId="5"/>
    <cellStyle name="Porcentagem" xfId="3" builtinId="5"/>
    <cellStyle name="Texto Explicativo" xfId="4" builtinId="53" customBuiltin="1"/>
    <cellStyle name="Vírgula" xfId="1" builtinId="3"/>
    <cellStyle name="Vírgula 2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424080</xdr:colOff>
      <xdr:row>7</xdr:row>
      <xdr:rowOff>122760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360720</xdr:colOff>
      <xdr:row>7</xdr:row>
      <xdr:rowOff>81720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60440" cy="1415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50800</xdr:colOff>
      <xdr:row>7</xdr:row>
      <xdr:rowOff>50800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38FA466-4D38-4B32-8773-6C6059A001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814300" cy="12954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427680</xdr:colOff>
      <xdr:row>7</xdr:row>
      <xdr:rowOff>122760</xdr:rowOff>
    </xdr:to>
    <xdr:pic>
      <xdr:nvPicPr>
        <xdr:cNvPr id="14" name="Imagem 1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7623360" cy="1456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66600</xdr:colOff>
      <xdr:row>0</xdr:row>
      <xdr:rowOff>28440</xdr:rowOff>
    </xdr:from>
    <xdr:to>
      <xdr:col>5</xdr:col>
      <xdr:colOff>490680</xdr:colOff>
      <xdr:row>7</xdr:row>
      <xdr:rowOff>151200</xdr:rowOff>
    </xdr:to>
    <xdr:pic>
      <xdr:nvPicPr>
        <xdr:cNvPr id="15" name="Imagem 2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6600" y="28440"/>
          <a:ext cx="7619760" cy="1456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76320</xdr:rowOff>
    </xdr:from>
    <xdr:to>
      <xdr:col>7</xdr:col>
      <xdr:colOff>613440</xdr:colOff>
      <xdr:row>7</xdr:row>
      <xdr:rowOff>141840</xdr:rowOff>
    </xdr:to>
    <xdr:pic>
      <xdr:nvPicPr>
        <xdr:cNvPr id="16" name="Imagem 1">
          <a:extLst>
            <a:ext uri="{FF2B5EF4-FFF2-40B4-BE49-F238E27FC236}">
              <a16:creationId xmlns:a16="http://schemas.microsoft.com/office/drawing/2014/main" id="{00000000-0008-0000-0900-000010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266760"/>
          <a:ext cx="8595720" cy="12085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view="pageBreakPreview" topLeftCell="A13" workbookViewId="0">
      <selection activeCell="I15" sqref="I15"/>
    </sheetView>
  </sheetViews>
  <sheetFormatPr defaultRowHeight="15" x14ac:dyDescent="0.25"/>
  <cols>
    <col min="1" max="1" width="5.28515625" customWidth="1"/>
    <col min="2" max="2" width="13.140625" customWidth="1"/>
    <col min="3" max="3" width="9.42578125" customWidth="1"/>
    <col min="4" max="4" width="49.28515625" customWidth="1"/>
    <col min="5" max="5" width="9.5703125" customWidth="1"/>
    <col min="6" max="6" width="5.140625" customWidth="1"/>
    <col min="7" max="7" width="13.7109375" customWidth="1"/>
    <col min="8" max="8" width="14.28515625" customWidth="1"/>
    <col min="9" max="10" width="8.7109375" customWidth="1"/>
    <col min="11" max="11" width="9.140625" customWidth="1"/>
    <col min="12" max="12" width="13.7109375" customWidth="1"/>
    <col min="13" max="13" width="8.7109375" customWidth="1"/>
    <col min="14" max="14" width="13.28515625" customWidth="1"/>
    <col min="15" max="1025" width="8.7109375" customWidth="1"/>
  </cols>
  <sheetData>
    <row r="1" spans="1:8" x14ac:dyDescent="0.25">
      <c r="A1" t="s">
        <v>0</v>
      </c>
    </row>
    <row r="2" spans="1:8" ht="3.75" customHeight="1" x14ac:dyDescent="0.25"/>
    <row r="3" spans="1:8" x14ac:dyDescent="0.25">
      <c r="A3" t="s">
        <v>1</v>
      </c>
    </row>
    <row r="4" spans="1:8" ht="3" customHeight="1" x14ac:dyDescent="0.25"/>
    <row r="5" spans="1:8" x14ac:dyDescent="0.25">
      <c r="A5" t="s">
        <v>2</v>
      </c>
      <c r="G5" s="1" t="s">
        <v>3</v>
      </c>
      <c r="H5" s="1"/>
    </row>
    <row r="7" spans="1:8" ht="15" customHeight="1" x14ac:dyDescent="0.25">
      <c r="A7" s="260" t="s">
        <v>4</v>
      </c>
      <c r="B7" s="261" t="s">
        <v>5</v>
      </c>
      <c r="C7" s="261" t="s">
        <v>6</v>
      </c>
      <c r="D7" s="260" t="s">
        <v>7</v>
      </c>
      <c r="E7" s="260" t="s">
        <v>8</v>
      </c>
      <c r="F7" s="260" t="s">
        <v>9</v>
      </c>
      <c r="G7" s="260" t="s">
        <v>10</v>
      </c>
      <c r="H7" s="260"/>
    </row>
    <row r="8" spans="1:8" x14ac:dyDescent="0.25">
      <c r="A8" s="260"/>
      <c r="B8" s="261"/>
      <c r="C8" s="261"/>
      <c r="D8" s="260"/>
      <c r="E8" s="260"/>
      <c r="F8" s="260"/>
      <c r="G8" s="2" t="s">
        <v>11</v>
      </c>
      <c r="H8" s="2" t="s">
        <v>12</v>
      </c>
    </row>
    <row r="9" spans="1:8" x14ac:dyDescent="0.25">
      <c r="A9" s="2">
        <v>1</v>
      </c>
      <c r="B9" s="2"/>
      <c r="C9" s="2"/>
      <c r="D9" s="4" t="s">
        <v>13</v>
      </c>
      <c r="E9" s="1"/>
      <c r="F9" s="1"/>
      <c r="G9" s="1"/>
      <c r="H9" s="1"/>
    </row>
    <row r="10" spans="1:8" ht="30" x14ac:dyDescent="0.25">
      <c r="A10" s="2" t="s">
        <v>14</v>
      </c>
      <c r="B10" s="3" t="s">
        <v>15</v>
      </c>
      <c r="C10" s="2">
        <v>40695</v>
      </c>
      <c r="D10" s="5" t="s">
        <v>16</v>
      </c>
      <c r="E10" s="6">
        <v>4.5</v>
      </c>
      <c r="F10" s="1" t="s">
        <v>17</v>
      </c>
      <c r="G10" s="7">
        <v>143.38999999999999</v>
      </c>
      <c r="H10" s="7">
        <f t="shared" ref="H10:H24" si="0">G10*E10</f>
        <v>645.25499999999988</v>
      </c>
    </row>
    <row r="11" spans="1:8" x14ac:dyDescent="0.25">
      <c r="A11" s="2">
        <v>2</v>
      </c>
      <c r="B11" s="3"/>
      <c r="C11" s="2"/>
      <c r="D11" s="4" t="s">
        <v>18</v>
      </c>
      <c r="E11" s="6"/>
      <c r="F11" s="1"/>
      <c r="G11" s="7"/>
      <c r="H11" s="7">
        <f t="shared" si="0"/>
        <v>0</v>
      </c>
    </row>
    <row r="12" spans="1:8" ht="45" x14ac:dyDescent="0.25">
      <c r="A12" s="2" t="s">
        <v>19</v>
      </c>
      <c r="B12" s="3" t="s">
        <v>20</v>
      </c>
      <c r="C12" s="2">
        <v>40725</v>
      </c>
      <c r="D12" s="8" t="s">
        <v>21</v>
      </c>
      <c r="E12" s="6">
        <v>2250</v>
      </c>
      <c r="F12" s="1" t="s">
        <v>22</v>
      </c>
      <c r="G12" s="7">
        <v>7.64</v>
      </c>
      <c r="H12" s="7">
        <f t="shared" si="0"/>
        <v>17190</v>
      </c>
    </row>
    <row r="13" spans="1:8" ht="60" x14ac:dyDescent="0.25">
      <c r="A13" s="2" t="s">
        <v>23</v>
      </c>
      <c r="B13" s="3" t="s">
        <v>24</v>
      </c>
      <c r="C13" s="2">
        <v>40725</v>
      </c>
      <c r="D13" s="8" t="s">
        <v>25</v>
      </c>
      <c r="E13" s="6">
        <v>1830</v>
      </c>
      <c r="F13" s="1" t="s">
        <v>22</v>
      </c>
      <c r="G13" s="7">
        <v>9.2899999999999991</v>
      </c>
      <c r="H13" s="7">
        <f t="shared" si="0"/>
        <v>17000.699999999997</v>
      </c>
    </row>
    <row r="14" spans="1:8" ht="30" x14ac:dyDescent="0.25">
      <c r="A14" s="2" t="s">
        <v>26</v>
      </c>
      <c r="B14" s="3" t="s">
        <v>27</v>
      </c>
      <c r="C14" s="2">
        <v>40725</v>
      </c>
      <c r="D14" s="8" t="s">
        <v>28</v>
      </c>
      <c r="E14" s="6">
        <v>650</v>
      </c>
      <c r="F14" s="1" t="s">
        <v>17</v>
      </c>
      <c r="G14" s="7">
        <v>3.93</v>
      </c>
      <c r="H14" s="7">
        <f t="shared" si="0"/>
        <v>2554.5</v>
      </c>
    </row>
    <row r="15" spans="1:8" x14ac:dyDescent="0.25">
      <c r="A15" s="2">
        <v>3</v>
      </c>
      <c r="B15" s="3"/>
      <c r="C15" s="2"/>
      <c r="D15" s="4" t="s">
        <v>29</v>
      </c>
      <c r="E15" s="6"/>
      <c r="F15" s="1"/>
      <c r="G15" s="7"/>
      <c r="H15" s="7">
        <f t="shared" si="0"/>
        <v>0</v>
      </c>
    </row>
    <row r="16" spans="1:8" x14ac:dyDescent="0.25">
      <c r="A16" s="2" t="s">
        <v>30</v>
      </c>
      <c r="B16" s="2" t="s">
        <v>31</v>
      </c>
      <c r="C16" s="2">
        <v>40695</v>
      </c>
      <c r="D16" s="1" t="s">
        <v>32</v>
      </c>
      <c r="E16" s="6">
        <v>200</v>
      </c>
      <c r="F16" s="1" t="s">
        <v>33</v>
      </c>
      <c r="G16" s="7">
        <v>122.39</v>
      </c>
      <c r="H16" s="7">
        <f t="shared" si="0"/>
        <v>24478</v>
      </c>
    </row>
    <row r="17" spans="1:14" x14ac:dyDescent="0.25">
      <c r="A17" s="2" t="s">
        <v>34</v>
      </c>
      <c r="B17" s="2" t="s">
        <v>35</v>
      </c>
      <c r="C17" s="2">
        <v>40695</v>
      </c>
      <c r="D17" s="1" t="s">
        <v>36</v>
      </c>
      <c r="E17" s="6">
        <v>450</v>
      </c>
      <c r="F17" s="1" t="s">
        <v>33</v>
      </c>
      <c r="G17" s="7">
        <v>280.39</v>
      </c>
      <c r="H17" s="7">
        <f t="shared" si="0"/>
        <v>126175.5</v>
      </c>
    </row>
    <row r="18" spans="1:14" x14ac:dyDescent="0.25">
      <c r="A18" s="2" t="s">
        <v>37</v>
      </c>
      <c r="B18" s="2" t="s">
        <v>38</v>
      </c>
      <c r="C18" s="2">
        <v>40695</v>
      </c>
      <c r="D18" s="1" t="s">
        <v>39</v>
      </c>
      <c r="E18" s="6">
        <v>20</v>
      </c>
      <c r="F18" s="1" t="s">
        <v>33</v>
      </c>
      <c r="G18" s="7">
        <v>394.21</v>
      </c>
      <c r="H18" s="7">
        <f t="shared" si="0"/>
        <v>7884.2</v>
      </c>
    </row>
    <row r="19" spans="1:14" x14ac:dyDescent="0.25">
      <c r="A19" s="4">
        <v>4</v>
      </c>
      <c r="B19" s="9"/>
      <c r="C19" s="4"/>
      <c r="D19" s="4" t="s">
        <v>40</v>
      </c>
      <c r="E19" s="6"/>
      <c r="F19" s="1"/>
      <c r="G19" s="7"/>
      <c r="H19" s="7">
        <f t="shared" si="0"/>
        <v>0</v>
      </c>
    </row>
    <row r="20" spans="1:14" ht="75" x14ac:dyDescent="0.25">
      <c r="A20" s="2" t="s">
        <v>41</v>
      </c>
      <c r="B20" s="3" t="s">
        <v>42</v>
      </c>
      <c r="C20" s="2"/>
      <c r="D20" s="10" t="s">
        <v>43</v>
      </c>
      <c r="E20" s="2">
        <v>18</v>
      </c>
      <c r="F20" s="2" t="s">
        <v>44</v>
      </c>
      <c r="G20" s="11">
        <f>1402.91*1.3</f>
        <v>1823.7830000000001</v>
      </c>
      <c r="H20" s="11">
        <f t="shared" si="0"/>
        <v>32828.094000000005</v>
      </c>
      <c r="J20" s="2">
        <f>1402.91*1.3</f>
        <v>1823.7830000000001</v>
      </c>
      <c r="K20" s="2">
        <v>18</v>
      </c>
      <c r="L20">
        <f>J20*K20</f>
        <v>32828.094000000005</v>
      </c>
    </row>
    <row r="21" spans="1:14" ht="75" x14ac:dyDescent="0.25">
      <c r="A21" s="2" t="s">
        <v>45</v>
      </c>
      <c r="B21" s="3" t="s">
        <v>46</v>
      </c>
      <c r="C21" s="2"/>
      <c r="D21" s="10" t="s">
        <v>47</v>
      </c>
      <c r="E21" s="2">
        <v>4</v>
      </c>
      <c r="F21" s="2" t="s">
        <v>44</v>
      </c>
      <c r="G21" s="11">
        <f>2007.58*1.3</f>
        <v>2609.8539999999998</v>
      </c>
      <c r="H21" s="11">
        <f t="shared" si="0"/>
        <v>10439.415999999999</v>
      </c>
      <c r="J21" s="2">
        <v>2650</v>
      </c>
      <c r="K21" s="2">
        <v>4</v>
      </c>
      <c r="L21">
        <f>J21*K21</f>
        <v>10600</v>
      </c>
    </row>
    <row r="22" spans="1:14" ht="75" x14ac:dyDescent="0.25">
      <c r="A22" s="2" t="s">
        <v>48</v>
      </c>
      <c r="B22" s="3" t="s">
        <v>49</v>
      </c>
      <c r="C22" s="2"/>
      <c r="D22" s="10" t="s">
        <v>50</v>
      </c>
      <c r="E22" s="2">
        <v>5</v>
      </c>
      <c r="F22" s="2" t="s">
        <v>44</v>
      </c>
      <c r="G22" s="11">
        <f>2782.64*1.3</f>
        <v>3617.4319999999998</v>
      </c>
      <c r="H22" s="11">
        <f t="shared" si="0"/>
        <v>18087.16</v>
      </c>
      <c r="J22" s="2">
        <v>3200</v>
      </c>
      <c r="K22" s="2">
        <v>5</v>
      </c>
      <c r="L22">
        <f>J22*K22</f>
        <v>16000</v>
      </c>
    </row>
    <row r="23" spans="1:14" ht="45" x14ac:dyDescent="0.25">
      <c r="A23" s="2" t="s">
        <v>51</v>
      </c>
      <c r="B23" s="3" t="s">
        <v>52</v>
      </c>
      <c r="C23" s="2"/>
      <c r="D23" s="10" t="s">
        <v>53</v>
      </c>
      <c r="E23" s="2">
        <v>1</v>
      </c>
      <c r="F23" s="2" t="s">
        <v>44</v>
      </c>
      <c r="G23" s="11">
        <f>3721.26*1.3</f>
        <v>4837.6380000000008</v>
      </c>
      <c r="H23" s="11">
        <f t="shared" si="0"/>
        <v>4837.6380000000008</v>
      </c>
      <c r="J23" s="2">
        <v>4300</v>
      </c>
      <c r="K23" s="2">
        <v>1</v>
      </c>
      <c r="L23">
        <f>J23*K23</f>
        <v>4300</v>
      </c>
    </row>
    <row r="24" spans="1:14" x14ac:dyDescent="0.25">
      <c r="A24" s="2" t="s">
        <v>54</v>
      </c>
      <c r="B24" s="3" t="s">
        <v>55</v>
      </c>
      <c r="C24" s="2"/>
      <c r="D24" s="10" t="s">
        <v>56</v>
      </c>
      <c r="E24" s="2">
        <v>1</v>
      </c>
      <c r="F24" s="2" t="s">
        <v>44</v>
      </c>
      <c r="G24" s="11">
        <v>5350</v>
      </c>
      <c r="H24" s="11">
        <f t="shared" si="0"/>
        <v>5350</v>
      </c>
      <c r="J24" s="2">
        <v>5350</v>
      </c>
      <c r="K24" s="2">
        <v>1</v>
      </c>
      <c r="L24">
        <f>J24*K24</f>
        <v>5350</v>
      </c>
    </row>
    <row r="25" spans="1:14" x14ac:dyDescent="0.25">
      <c r="A25" s="1"/>
      <c r="B25" s="1"/>
      <c r="C25" s="1"/>
      <c r="D25" s="1"/>
      <c r="E25" s="2"/>
      <c r="F25" s="2"/>
      <c r="G25" s="11"/>
      <c r="H25" s="11">
        <f>SUM(H10:H24)</f>
        <v>267470.46300000005</v>
      </c>
      <c r="L25">
        <f>SUM(L20:L24)</f>
        <v>69078.094000000012</v>
      </c>
      <c r="N25" s="12">
        <f>SUM(H20:H24)</f>
        <v>71542.308000000005</v>
      </c>
    </row>
    <row r="27" spans="1:14" x14ac:dyDescent="0.25">
      <c r="E27" s="13" t="s">
        <v>57</v>
      </c>
    </row>
  </sheetData>
  <mergeCells count="7">
    <mergeCell ref="F7:F8"/>
    <mergeCell ref="G7:H7"/>
    <mergeCell ref="A7:A8"/>
    <mergeCell ref="B7:B8"/>
    <mergeCell ref="C7:C8"/>
    <mergeCell ref="D7:D8"/>
    <mergeCell ref="E7:E8"/>
  </mergeCells>
  <pageMargins left="0.31527777777777799" right="0.31527777777777799" top="0.78749999999999998" bottom="0.78749999999999998" header="0.51180555555555496" footer="0.51180555555555496"/>
  <pageSetup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H46"/>
  <sheetViews>
    <sheetView view="pageBreakPreview" workbookViewId="0">
      <pane ySplit="15" topLeftCell="A37" activePane="bottomLeft" state="frozen"/>
      <selection pane="bottomLeft" activeCell="E27" sqref="E27"/>
    </sheetView>
  </sheetViews>
  <sheetFormatPr defaultRowHeight="15" x14ac:dyDescent="0.2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1025" width="8.7109375" customWidth="1"/>
  </cols>
  <sheetData>
    <row r="9" spans="1:7" x14ac:dyDescent="0.25">
      <c r="A9" t="s">
        <v>58</v>
      </c>
    </row>
    <row r="10" spans="1:7" ht="3.75" customHeight="1" x14ac:dyDescent="0.25"/>
    <row r="11" spans="1:7" ht="21" x14ac:dyDescent="0.35">
      <c r="A11" t="s">
        <v>1</v>
      </c>
      <c r="D11" s="14" t="s">
        <v>59</v>
      </c>
    </row>
    <row r="12" spans="1:7" ht="3" customHeight="1" x14ac:dyDescent="0.25"/>
    <row r="13" spans="1:7" x14ac:dyDescent="0.25">
      <c r="A13" t="s">
        <v>2</v>
      </c>
      <c r="F13" s="1" t="s">
        <v>3</v>
      </c>
      <c r="G13" s="1"/>
    </row>
    <row r="14" spans="1:7" ht="15.75" customHeight="1" x14ac:dyDescent="0.25">
      <c r="A14" s="263" t="s">
        <v>4</v>
      </c>
      <c r="B14" s="264" t="s">
        <v>5</v>
      </c>
      <c r="C14" s="262" t="s">
        <v>7</v>
      </c>
      <c r="D14" s="262" t="s">
        <v>9</v>
      </c>
      <c r="E14" s="262" t="s">
        <v>8</v>
      </c>
      <c r="F14" s="262" t="s">
        <v>10</v>
      </c>
      <c r="G14" s="262"/>
    </row>
    <row r="15" spans="1:7" ht="15.75" x14ac:dyDescent="0.25">
      <c r="A15" s="263"/>
      <c r="B15" s="264"/>
      <c r="C15" s="262"/>
      <c r="D15" s="262"/>
      <c r="E15" s="262"/>
      <c r="F15" s="15" t="s">
        <v>11</v>
      </c>
      <c r="G15" s="15" t="s">
        <v>12</v>
      </c>
    </row>
    <row r="16" spans="1:7" ht="26.25" x14ac:dyDescent="0.25">
      <c r="A16" s="16">
        <v>1</v>
      </c>
      <c r="B16" s="17" t="s">
        <v>60</v>
      </c>
      <c r="C16" s="18" t="s">
        <v>18</v>
      </c>
      <c r="D16" s="19"/>
      <c r="E16" s="20"/>
      <c r="F16" s="21"/>
      <c r="G16" s="22">
        <f>SUM(G17:G19)</f>
        <v>15893.77</v>
      </c>
    </row>
    <row r="17" spans="1:8" ht="45" customHeight="1" x14ac:dyDescent="0.25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5.87*(1+$D$38)</f>
        <v>7.6310000000000002</v>
      </c>
      <c r="G17" s="28">
        <f>ROUND(F17*E17,2)</f>
        <v>7142.62</v>
      </c>
    </row>
    <row r="18" spans="1:8" ht="44.25" customHeight="1" x14ac:dyDescent="0.25">
      <c r="A18" s="23" t="s">
        <v>63</v>
      </c>
      <c r="B18" s="24" t="s">
        <v>64</v>
      </c>
      <c r="C18" s="25" t="s">
        <v>65</v>
      </c>
      <c r="D18" s="26" t="s">
        <v>22</v>
      </c>
      <c r="E18" s="27">
        <v>890.49</v>
      </c>
      <c r="F18" s="28">
        <f>7.15*(1+$D$38)</f>
        <v>9.2949999999999999</v>
      </c>
      <c r="G18" s="28">
        <f>ROUND(F18*E18,2)</f>
        <v>8277.1</v>
      </c>
    </row>
    <row r="19" spans="1:8" ht="30" customHeight="1" x14ac:dyDescent="0.25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2.86*(1+$D$38)</f>
        <v>3.718</v>
      </c>
      <c r="G19" s="28">
        <f>ROUND(F19*E19,2)</f>
        <v>474.05</v>
      </c>
    </row>
    <row r="20" spans="1:8" ht="30" x14ac:dyDescent="0.25">
      <c r="A20" s="16">
        <v>2</v>
      </c>
      <c r="B20" s="29" t="s">
        <v>68</v>
      </c>
      <c r="C20" s="18" t="s">
        <v>29</v>
      </c>
      <c r="D20" s="30"/>
      <c r="E20" s="31"/>
      <c r="F20" s="32"/>
      <c r="G20" s="33">
        <f>SUM(G21:G22)</f>
        <v>37426.899999999994</v>
      </c>
      <c r="H20" s="34"/>
    </row>
    <row r="21" spans="1:8" ht="18" customHeight="1" x14ac:dyDescent="0.25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94.14*(1+$D$38)</f>
        <v>122.38200000000001</v>
      </c>
      <c r="G21" s="28">
        <f>ROUND(F21*E21,2)</f>
        <v>3426.7</v>
      </c>
    </row>
    <row r="22" spans="1:8" ht="15.75" customHeight="1" x14ac:dyDescent="0.25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145.3*(1+$D$38)</f>
        <v>188.89000000000001</v>
      </c>
      <c r="G22" s="28">
        <f>ROUND(F22*E22,2)</f>
        <v>34000.199999999997</v>
      </c>
    </row>
    <row r="23" spans="1:8" ht="26.25" x14ac:dyDescent="0.25">
      <c r="A23" s="37">
        <v>3</v>
      </c>
      <c r="B23" s="17" t="s">
        <v>60</v>
      </c>
      <c r="C23" s="18" t="s">
        <v>72</v>
      </c>
      <c r="D23" s="19"/>
      <c r="E23" s="31"/>
      <c r="F23" s="32"/>
      <c r="G23" s="33">
        <f>SUM(G24:G25)</f>
        <v>15246.71</v>
      </c>
    </row>
    <row r="24" spans="1:8" ht="43.5" customHeight="1" x14ac:dyDescent="0.25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1454.89*(1+$D$38)</f>
        <v>1891.3570000000002</v>
      </c>
      <c r="G24" s="28">
        <f>ROUND(F24*E24,2)</f>
        <v>7565.43</v>
      </c>
    </row>
    <row r="25" spans="1:8" ht="43.5" customHeight="1" x14ac:dyDescent="0.25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2954.34*(1+$D$38)</f>
        <v>3840.6420000000003</v>
      </c>
      <c r="G25" s="28">
        <f>ROUND(F25*E25,2)</f>
        <v>7681.28</v>
      </c>
    </row>
    <row r="26" spans="1:8" ht="28.5" customHeight="1" x14ac:dyDescent="0.25">
      <c r="A26" s="37">
        <v>4</v>
      </c>
      <c r="B26" s="17" t="s">
        <v>60</v>
      </c>
      <c r="C26" s="18" t="s">
        <v>75</v>
      </c>
      <c r="D26" s="40" t="s">
        <v>17</v>
      </c>
      <c r="E26" s="41">
        <v>4623.1099999999997</v>
      </c>
      <c r="F26" s="42" t="s">
        <v>76</v>
      </c>
      <c r="G26" s="33">
        <f>SUM(G27:G36)</f>
        <v>116115.39</v>
      </c>
    </row>
    <row r="27" spans="1:8" ht="36" customHeight="1" x14ac:dyDescent="0.25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1155.78</v>
      </c>
      <c r="F27" s="28">
        <f>1.98*(1+$D$38)</f>
        <v>2.5739999999999998</v>
      </c>
      <c r="G27" s="28">
        <f t="shared" ref="G27:G36" si="0">ROUND(F27*E27,2)</f>
        <v>2974.98</v>
      </c>
    </row>
    <row r="28" spans="1:8" ht="51" customHeight="1" x14ac:dyDescent="0.25">
      <c r="A28" s="43" t="s">
        <v>45</v>
      </c>
      <c r="B28" s="44" t="s">
        <v>79</v>
      </c>
      <c r="C28" s="48" t="s">
        <v>80</v>
      </c>
      <c r="D28" s="46" t="s">
        <v>22</v>
      </c>
      <c r="E28" s="47">
        <f>ROUND($E$26*0.25,2)</f>
        <v>1155.78</v>
      </c>
      <c r="F28" s="28">
        <f>1*(1+$D$38)</f>
        <v>1.3</v>
      </c>
      <c r="G28" s="28">
        <f t="shared" si="0"/>
        <v>1502.51</v>
      </c>
    </row>
    <row r="29" spans="1:8" ht="32.25" customHeight="1" x14ac:dyDescent="0.25">
      <c r="A29" s="43" t="s">
        <v>48</v>
      </c>
      <c r="B29" s="44" t="s">
        <v>81</v>
      </c>
      <c r="C29" s="48" t="s">
        <v>82</v>
      </c>
      <c r="D29" s="46" t="s">
        <v>22</v>
      </c>
      <c r="E29" s="47">
        <f>ROUND($E$26*0.2,2)</f>
        <v>924.62</v>
      </c>
      <c r="F29" s="28">
        <f>1.91*(1+$D$38)</f>
        <v>2.4830000000000001</v>
      </c>
      <c r="G29" s="28">
        <f t="shared" si="0"/>
        <v>2295.83</v>
      </c>
    </row>
    <row r="30" spans="1:8" ht="54" customHeight="1" x14ac:dyDescent="0.25">
      <c r="A30" s="43" t="s">
        <v>51</v>
      </c>
      <c r="B30" s="44" t="s">
        <v>83</v>
      </c>
      <c r="C30" s="48" t="s">
        <v>84</v>
      </c>
      <c r="D30" s="46" t="s">
        <v>22</v>
      </c>
      <c r="E30" s="47">
        <f>ROUND($E$26*0.2,2)</f>
        <v>924.62</v>
      </c>
      <c r="F30" s="28">
        <f>2.89*(1+$D$38)</f>
        <v>3.7570000000000001</v>
      </c>
      <c r="G30" s="28">
        <f t="shared" si="0"/>
        <v>3473.8</v>
      </c>
    </row>
    <row r="31" spans="1:8" ht="42" customHeight="1" x14ac:dyDescent="0.25">
      <c r="A31" s="43" t="s">
        <v>54</v>
      </c>
      <c r="B31" s="44" t="s">
        <v>81</v>
      </c>
      <c r="C31" s="48" t="s">
        <v>85</v>
      </c>
      <c r="D31" s="46" t="s">
        <v>22</v>
      </c>
      <c r="E31" s="47">
        <f>ROUND($E$26*0.2,2)</f>
        <v>924.62</v>
      </c>
      <c r="F31" s="28">
        <f>1.91*(1+$D$38)</f>
        <v>2.4830000000000001</v>
      </c>
      <c r="G31" s="28">
        <f t="shared" si="0"/>
        <v>2295.83</v>
      </c>
    </row>
    <row r="32" spans="1:8" ht="25.5" customHeight="1" x14ac:dyDescent="0.25">
      <c r="A32" s="43" t="s">
        <v>86</v>
      </c>
      <c r="B32" s="44" t="s">
        <v>87</v>
      </c>
      <c r="C32" s="49" t="s">
        <v>88</v>
      </c>
      <c r="D32" s="46" t="s">
        <v>17</v>
      </c>
      <c r="E32" s="47">
        <v>4623.1099999999997</v>
      </c>
      <c r="F32" s="28">
        <f>1.5*(1+$D$38)</f>
        <v>1.9500000000000002</v>
      </c>
      <c r="G32" s="28">
        <f t="shared" si="0"/>
        <v>9015.06</v>
      </c>
    </row>
    <row r="33" spans="1:7" ht="25.5" x14ac:dyDescent="0.25">
      <c r="A33" s="43" t="s">
        <v>89</v>
      </c>
      <c r="B33" s="44" t="s">
        <v>90</v>
      </c>
      <c r="C33" s="49" t="s">
        <v>91</v>
      </c>
      <c r="D33" s="46" t="s">
        <v>22</v>
      </c>
      <c r="E33" s="47">
        <f>ROUND($E$26*0.1,2)</f>
        <v>462.31</v>
      </c>
      <c r="F33" s="28">
        <f>11.12*(1+$D$38)</f>
        <v>14.456</v>
      </c>
      <c r="G33" s="28">
        <f t="shared" si="0"/>
        <v>6683.15</v>
      </c>
    </row>
    <row r="34" spans="1:7" ht="18.75" customHeight="1" x14ac:dyDescent="0.25">
      <c r="A34" s="43" t="s">
        <v>92</v>
      </c>
      <c r="B34" s="44" t="s">
        <v>93</v>
      </c>
      <c r="C34" s="49" t="s">
        <v>94</v>
      </c>
      <c r="D34" s="46" t="s">
        <v>17</v>
      </c>
      <c r="E34" s="47">
        <v>4625.1099999999997</v>
      </c>
      <c r="F34" s="28">
        <f>2.74*(1+$D$38)</f>
        <v>3.5620000000000003</v>
      </c>
      <c r="G34" s="28">
        <f t="shared" si="0"/>
        <v>16474.64</v>
      </c>
    </row>
    <row r="35" spans="1:7" x14ac:dyDescent="0.25">
      <c r="A35" s="43" t="s">
        <v>95</v>
      </c>
      <c r="B35" s="44" t="s">
        <v>96</v>
      </c>
      <c r="C35" s="49" t="s">
        <v>97</v>
      </c>
      <c r="D35" s="46" t="s">
        <v>17</v>
      </c>
      <c r="E35" s="47">
        <v>4626.1099999999997</v>
      </c>
      <c r="F35" s="28">
        <f>1.03*(1+$D$38)</f>
        <v>1.3390000000000002</v>
      </c>
      <c r="G35" s="28">
        <f t="shared" si="0"/>
        <v>6194.36</v>
      </c>
    </row>
    <row r="36" spans="1:7" ht="25.5" x14ac:dyDescent="0.25">
      <c r="A36" s="43" t="s">
        <v>98</v>
      </c>
      <c r="B36" s="50" t="s">
        <v>99</v>
      </c>
      <c r="C36" s="51" t="s">
        <v>100</v>
      </c>
      <c r="D36" s="52" t="s">
        <v>17</v>
      </c>
      <c r="E36" s="47">
        <v>4627.1099999999997</v>
      </c>
      <c r="F36" s="28">
        <f>10.84*(1+$D$38)</f>
        <v>14.092000000000001</v>
      </c>
      <c r="G36" s="28">
        <f t="shared" si="0"/>
        <v>65205.23</v>
      </c>
    </row>
    <row r="38" spans="1:7" ht="15.75" x14ac:dyDescent="0.25">
      <c r="A38" s="53"/>
      <c r="B38" s="54"/>
      <c r="C38" s="55" t="s">
        <v>101</v>
      </c>
      <c r="D38" s="56">
        <v>0.3</v>
      </c>
      <c r="E38" s="57"/>
      <c r="F38" s="57"/>
      <c r="G38" s="58">
        <f>SUM(G16+G20+G23+G26)</f>
        <v>184682.77000000002</v>
      </c>
    </row>
    <row r="40" spans="1:7" x14ac:dyDescent="0.25">
      <c r="F40" s="59" t="s">
        <v>102</v>
      </c>
    </row>
    <row r="41" spans="1:7" x14ac:dyDescent="0.25">
      <c r="D41" s="60"/>
      <c r="E41" s="60"/>
      <c r="G41" s="61"/>
    </row>
    <row r="42" spans="1:7" x14ac:dyDescent="0.25">
      <c r="D42" s="60"/>
      <c r="E42" s="60"/>
      <c r="G42" s="60"/>
    </row>
    <row r="43" spans="1:7" x14ac:dyDescent="0.25">
      <c r="D43" s="60"/>
      <c r="E43" s="60"/>
      <c r="F43" s="60"/>
      <c r="G43" s="60"/>
    </row>
    <row r="44" spans="1:7" x14ac:dyDescent="0.25">
      <c r="C44" s="61" t="s">
        <v>103</v>
      </c>
      <c r="F44" s="61" t="s">
        <v>104</v>
      </c>
    </row>
    <row r="45" spans="1:7" x14ac:dyDescent="0.25">
      <c r="C45" s="61" t="s">
        <v>105</v>
      </c>
      <c r="F45" s="61" t="s">
        <v>106</v>
      </c>
    </row>
    <row r="46" spans="1:7" x14ac:dyDescent="0.25">
      <c r="C46" s="60" t="s">
        <v>107</v>
      </c>
    </row>
  </sheetData>
  <mergeCells count="6">
    <mergeCell ref="F14:G14"/>
    <mergeCell ref="A14:A15"/>
    <mergeCell ref="B14:B15"/>
    <mergeCell ref="C14:C15"/>
    <mergeCell ref="D14:D15"/>
    <mergeCell ref="E14:E15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I39"/>
  <sheetViews>
    <sheetView view="pageBreakPreview" topLeftCell="A4" workbookViewId="0">
      <selection activeCell="J31" sqref="J31"/>
    </sheetView>
  </sheetViews>
  <sheetFormatPr defaultRowHeight="15" x14ac:dyDescent="0.25"/>
  <cols>
    <col min="1" max="1" width="4.85546875" customWidth="1"/>
    <col min="2" max="2" width="32.85546875" customWidth="1"/>
    <col min="3" max="3" width="12.28515625" customWidth="1"/>
    <col min="4" max="4" width="12.140625" customWidth="1"/>
    <col min="5" max="5" width="10.5703125" customWidth="1"/>
    <col min="6" max="6" width="12.42578125" customWidth="1"/>
    <col min="7" max="7" width="14.42578125" customWidth="1"/>
    <col min="8" max="8" width="3.85546875" customWidth="1"/>
    <col min="9" max="9" width="10.42578125" customWidth="1"/>
    <col min="10" max="1025" width="8.7109375" customWidth="1"/>
  </cols>
  <sheetData>
    <row r="9" spans="1:9" ht="18" x14ac:dyDescent="0.25">
      <c r="A9" s="275" t="s">
        <v>109</v>
      </c>
      <c r="B9" s="275"/>
      <c r="C9" s="275"/>
      <c r="D9" s="275"/>
      <c r="E9" s="275"/>
      <c r="F9" s="275"/>
      <c r="G9" s="275"/>
      <c r="H9" s="275"/>
      <c r="I9" s="275"/>
    </row>
    <row r="10" spans="1:9" ht="15" customHeight="1" x14ac:dyDescent="0.25">
      <c r="A10" s="276" t="s">
        <v>110</v>
      </c>
      <c r="B10" s="276"/>
      <c r="C10" s="276"/>
      <c r="D10" s="62"/>
      <c r="E10" s="62"/>
      <c r="F10" s="277" t="s">
        <v>111</v>
      </c>
      <c r="G10" s="277"/>
      <c r="H10" s="277"/>
      <c r="I10" s="65" t="s">
        <v>112</v>
      </c>
    </row>
    <row r="11" spans="1:9" ht="30.75" customHeight="1" x14ac:dyDescent="0.25">
      <c r="A11" s="276"/>
      <c r="B11" s="276"/>
      <c r="C11" s="276"/>
      <c r="D11" s="62"/>
      <c r="E11" s="62"/>
      <c r="F11" s="278" t="s">
        <v>113</v>
      </c>
      <c r="G11" s="278"/>
      <c r="H11" s="278"/>
      <c r="I11" s="66">
        <v>40969</v>
      </c>
    </row>
    <row r="13" spans="1:9" ht="15" customHeight="1" x14ac:dyDescent="0.25">
      <c r="A13" s="279" t="s">
        <v>114</v>
      </c>
      <c r="B13" s="279"/>
      <c r="C13" s="279"/>
      <c r="D13" s="279"/>
      <c r="E13" s="67"/>
      <c r="F13" s="265" t="s">
        <v>115</v>
      </c>
      <c r="G13" s="265"/>
      <c r="H13" s="265"/>
      <c r="I13" s="265"/>
    </row>
    <row r="14" spans="1:9" x14ac:dyDescent="0.25">
      <c r="A14" s="279"/>
      <c r="B14" s="279"/>
      <c r="C14" s="279"/>
      <c r="D14" s="279"/>
      <c r="E14" s="67"/>
      <c r="F14" s="280" t="s">
        <v>116</v>
      </c>
      <c r="G14" s="280"/>
      <c r="H14" s="280"/>
      <c r="I14" s="280"/>
    </row>
    <row r="15" spans="1:9" ht="29.25" customHeight="1" x14ac:dyDescent="0.25">
      <c r="F15" s="270" t="s">
        <v>117</v>
      </c>
      <c r="G15" s="270"/>
      <c r="H15" s="270"/>
      <c r="I15" s="270"/>
    </row>
    <row r="16" spans="1:9" ht="15" customHeight="1" x14ac:dyDescent="0.25">
      <c r="A16" s="65" t="s">
        <v>118</v>
      </c>
      <c r="B16" s="68" t="s">
        <v>119</v>
      </c>
      <c r="C16" s="69" t="s">
        <v>120</v>
      </c>
      <c r="D16" s="271" t="s">
        <v>121</v>
      </c>
      <c r="E16" s="271"/>
      <c r="F16" s="272"/>
      <c r="G16" s="272"/>
      <c r="H16" s="273" t="s">
        <v>122</v>
      </c>
      <c r="I16" s="273"/>
    </row>
    <row r="17" spans="1:9" ht="15" customHeight="1" x14ac:dyDescent="0.25">
      <c r="B17" s="71"/>
      <c r="C17" s="72"/>
      <c r="D17" s="73" t="s">
        <v>123</v>
      </c>
      <c r="E17" s="74"/>
      <c r="F17" s="73"/>
      <c r="G17" s="62"/>
      <c r="H17" s="75"/>
      <c r="I17" s="72"/>
    </row>
    <row r="18" spans="1:9" ht="89.25" customHeight="1" x14ac:dyDescent="0.25">
      <c r="A18" s="76"/>
      <c r="B18" s="77"/>
      <c r="C18" s="78"/>
      <c r="D18" s="79" t="s">
        <v>124</v>
      </c>
      <c r="E18" s="79" t="s">
        <v>125</v>
      </c>
      <c r="F18" s="79"/>
      <c r="G18" s="80"/>
      <c r="H18" s="81"/>
      <c r="I18" s="78"/>
    </row>
    <row r="19" spans="1:9" ht="14.25" customHeight="1" x14ac:dyDescent="0.25">
      <c r="A19" s="260" t="s">
        <v>126</v>
      </c>
      <c r="B19" s="274" t="str">
        <f>ORÇ.ORIGINAL!C16</f>
        <v>INFRA ESTRUTURA</v>
      </c>
      <c r="C19" s="82" t="s">
        <v>127</v>
      </c>
      <c r="D19" s="268">
        <v>100</v>
      </c>
      <c r="E19" s="268"/>
      <c r="F19" s="268"/>
      <c r="G19" s="268"/>
      <c r="H19" s="268"/>
      <c r="I19" s="268"/>
    </row>
    <row r="20" spans="1:9" ht="14.25" customHeight="1" x14ac:dyDescent="0.25">
      <c r="A20" s="260"/>
      <c r="B20" s="274"/>
      <c r="C20" s="82" t="s">
        <v>128</v>
      </c>
      <c r="D20" s="268" t="e">
        <f>#REF!</f>
        <v>#REF!</v>
      </c>
      <c r="E20" s="268"/>
      <c r="F20" s="268"/>
      <c r="G20" s="268"/>
      <c r="H20" s="268" t="e">
        <f>D20</f>
        <v>#REF!</v>
      </c>
      <c r="I20" s="268"/>
    </row>
    <row r="21" spans="1:9" ht="14.25" customHeight="1" x14ac:dyDescent="0.25">
      <c r="A21" s="260" t="s">
        <v>129</v>
      </c>
      <c r="B21" s="267" t="str">
        <f>ORÇ.ORIGINAL!C20</f>
        <v>TUBOS EM CONCRETO</v>
      </c>
      <c r="C21" s="82" t="s">
        <v>130</v>
      </c>
      <c r="D21" s="268" t="e">
        <f>#REF!+#REF!</f>
        <v>#REF!</v>
      </c>
      <c r="E21" s="268"/>
      <c r="F21" s="268"/>
      <c r="G21" s="268"/>
      <c r="H21" s="268"/>
      <c r="I21" s="268"/>
    </row>
    <row r="22" spans="1:9" ht="14.25" customHeight="1" x14ac:dyDescent="0.25">
      <c r="A22" s="260"/>
      <c r="B22" s="267"/>
      <c r="C22" s="82" t="s">
        <v>128</v>
      </c>
      <c r="D22" s="268" t="e">
        <f>#REF!</f>
        <v>#REF!</v>
      </c>
      <c r="E22" s="268"/>
      <c r="F22" s="268"/>
      <c r="G22" s="268"/>
      <c r="H22" s="268" t="e">
        <f>D22</f>
        <v>#REF!</v>
      </c>
      <c r="I22" s="268"/>
    </row>
    <row r="23" spans="1:9" ht="14.25" customHeight="1" x14ac:dyDescent="0.25">
      <c r="A23" s="260" t="s">
        <v>131</v>
      </c>
      <c r="B23" s="267" t="str">
        <f>ORÇ.ORIGINAL!C23</f>
        <v>BOCAS DE LOBO, PV's</v>
      </c>
      <c r="C23" s="82" t="s">
        <v>132</v>
      </c>
      <c r="D23" s="268" t="e">
        <f>#REF!+#REF!</f>
        <v>#REF!</v>
      </c>
      <c r="E23" s="268"/>
      <c r="F23" s="268"/>
      <c r="G23" s="268"/>
      <c r="H23" s="268"/>
      <c r="I23" s="268"/>
    </row>
    <row r="24" spans="1:9" ht="14.25" customHeight="1" x14ac:dyDescent="0.25">
      <c r="A24" s="260"/>
      <c r="B24" s="267"/>
      <c r="C24" s="82" t="s">
        <v>128</v>
      </c>
      <c r="D24" s="268" t="e">
        <f>#REF!</f>
        <v>#REF!</v>
      </c>
      <c r="E24" s="268"/>
      <c r="F24" s="83"/>
      <c r="G24" s="84"/>
      <c r="H24" s="269" t="e">
        <f>D24</f>
        <v>#REF!</v>
      </c>
      <c r="I24" s="269"/>
    </row>
    <row r="25" spans="1:9" ht="14.25" customHeight="1" x14ac:dyDescent="0.25">
      <c r="A25" s="260" t="s">
        <v>133</v>
      </c>
      <c r="B25" s="267" t="str">
        <f>ORÇ.ORIGINAL!C26</f>
        <v>PAVIMENTAÇÃO</v>
      </c>
      <c r="C25" s="82" t="s">
        <v>132</v>
      </c>
      <c r="D25" s="268" t="e">
        <f>#REF!</f>
        <v>#REF!</v>
      </c>
      <c r="E25" s="268"/>
      <c r="F25" s="83"/>
      <c r="G25" s="85"/>
      <c r="H25" s="268"/>
      <c r="I25" s="268"/>
    </row>
    <row r="26" spans="1:9" ht="14.25" customHeight="1" x14ac:dyDescent="0.25">
      <c r="A26" s="260"/>
      <c r="B26" s="267"/>
      <c r="C26" s="82" t="s">
        <v>128</v>
      </c>
      <c r="D26" s="268" t="e">
        <f>#REF!</f>
        <v>#REF!</v>
      </c>
      <c r="E26" s="268"/>
      <c r="F26" s="83"/>
      <c r="G26" s="85"/>
      <c r="H26" s="269" t="e">
        <f>D26</f>
        <v>#REF!</v>
      </c>
      <c r="I26" s="269"/>
    </row>
    <row r="27" spans="1:9" ht="14.25" customHeight="1" x14ac:dyDescent="0.25">
      <c r="A27" s="260"/>
      <c r="B27" s="267"/>
      <c r="C27" s="82"/>
      <c r="D27" s="268"/>
      <c r="E27" s="268"/>
      <c r="H27" s="268"/>
      <c r="I27" s="268"/>
    </row>
    <row r="28" spans="1:9" ht="14.25" customHeight="1" x14ac:dyDescent="0.25">
      <c r="A28" s="260"/>
      <c r="B28" s="267"/>
      <c r="C28" s="82"/>
      <c r="D28" s="268"/>
      <c r="E28" s="268"/>
      <c r="F28" s="268"/>
      <c r="G28" s="268"/>
      <c r="H28" s="269"/>
      <c r="I28" s="269"/>
    </row>
    <row r="29" spans="1:9" ht="14.25" customHeight="1" x14ac:dyDescent="0.25">
      <c r="A29" s="265" t="s">
        <v>134</v>
      </c>
      <c r="B29" s="265"/>
      <c r="C29" s="70" t="s">
        <v>128</v>
      </c>
      <c r="D29" s="266">
        <v>150000</v>
      </c>
      <c r="E29" s="266"/>
      <c r="F29" s="266"/>
      <c r="G29" s="266"/>
      <c r="H29" s="266">
        <f>D29</f>
        <v>150000</v>
      </c>
      <c r="I29" s="266"/>
    </row>
    <row r="30" spans="1:9" ht="14.25" customHeight="1" x14ac:dyDescent="0.25">
      <c r="A30" s="265" t="s">
        <v>135</v>
      </c>
      <c r="B30" s="265"/>
      <c r="C30" s="70" t="s">
        <v>128</v>
      </c>
      <c r="D30" s="266" t="e">
        <f>D31-D29</f>
        <v>#REF!</v>
      </c>
      <c r="E30" s="266"/>
      <c r="F30" s="266"/>
      <c r="G30" s="266"/>
      <c r="H30" s="266" t="e">
        <f>D30</f>
        <v>#REF!</v>
      </c>
      <c r="I30" s="266"/>
    </row>
    <row r="31" spans="1:9" x14ac:dyDescent="0.25">
      <c r="A31" s="265" t="s">
        <v>122</v>
      </c>
      <c r="B31" s="265"/>
      <c r="C31" s="70" t="s">
        <v>128</v>
      </c>
      <c r="D31" s="266" t="e">
        <f>SUM(D20+D22+D24+D26)</f>
        <v>#REF!</v>
      </c>
      <c r="E31" s="266"/>
      <c r="F31" s="266"/>
      <c r="G31" s="266"/>
      <c r="H31" s="266" t="e">
        <f>SUM(H29:I30)</f>
        <v>#REF!</v>
      </c>
      <c r="I31" s="266"/>
    </row>
    <row r="32" spans="1:9" x14ac:dyDescent="0.25">
      <c r="A32" s="86"/>
      <c r="B32" s="86"/>
      <c r="C32" s="63"/>
      <c r="D32" s="87"/>
      <c r="E32" t="e">
        <f>#REF!</f>
        <v>#REF!</v>
      </c>
      <c r="F32" s="88"/>
      <c r="G32" s="88"/>
      <c r="H32" s="88"/>
      <c r="I32" s="88"/>
    </row>
    <row r="36" spans="2:9" x14ac:dyDescent="0.25">
      <c r="B36" s="89"/>
      <c r="F36" s="89"/>
      <c r="G36" s="89"/>
      <c r="H36" s="89"/>
      <c r="I36" s="89"/>
    </row>
    <row r="37" spans="2:9" x14ac:dyDescent="0.25">
      <c r="B37" s="62" t="s">
        <v>136</v>
      </c>
      <c r="F37" s="62" t="s">
        <v>137</v>
      </c>
    </row>
    <row r="38" spans="2:9" x14ac:dyDescent="0.25">
      <c r="B38" s="62" t="s">
        <v>138</v>
      </c>
      <c r="F38" s="62" t="s">
        <v>108</v>
      </c>
      <c r="G38" s="63"/>
    </row>
    <row r="39" spans="2:9" x14ac:dyDescent="0.25">
      <c r="B39" s="62" t="s">
        <v>139</v>
      </c>
      <c r="G39" s="63"/>
    </row>
  </sheetData>
  <mergeCells count="59">
    <mergeCell ref="A9:I9"/>
    <mergeCell ref="A10:C11"/>
    <mergeCell ref="F10:H10"/>
    <mergeCell ref="F11:H11"/>
    <mergeCell ref="A13:D14"/>
    <mergeCell ref="F13:I13"/>
    <mergeCell ref="F14:I14"/>
    <mergeCell ref="F15:I15"/>
    <mergeCell ref="D16:E16"/>
    <mergeCell ref="F16:G16"/>
    <mergeCell ref="H16:I16"/>
    <mergeCell ref="A19:A20"/>
    <mergeCell ref="B19:B20"/>
    <mergeCell ref="D19:E19"/>
    <mergeCell ref="F19:G19"/>
    <mergeCell ref="H19:I19"/>
    <mergeCell ref="D20:E20"/>
    <mergeCell ref="F20:G20"/>
    <mergeCell ref="H20:I20"/>
    <mergeCell ref="A21:A22"/>
    <mergeCell ref="B21:B22"/>
    <mergeCell ref="D21:E21"/>
    <mergeCell ref="F21:G21"/>
    <mergeCell ref="H21:I21"/>
    <mergeCell ref="D22:E22"/>
    <mergeCell ref="F22:G22"/>
    <mergeCell ref="H22:I22"/>
    <mergeCell ref="A23:A24"/>
    <mergeCell ref="B23:B24"/>
    <mergeCell ref="D23:E23"/>
    <mergeCell ref="F23:G23"/>
    <mergeCell ref="H23:I23"/>
    <mergeCell ref="D24:E24"/>
    <mergeCell ref="H24:I24"/>
    <mergeCell ref="A25:A26"/>
    <mergeCell ref="B25:B26"/>
    <mergeCell ref="D25:E25"/>
    <mergeCell ref="H25:I25"/>
    <mergeCell ref="D26:E26"/>
    <mergeCell ref="H26:I26"/>
    <mergeCell ref="A27:A28"/>
    <mergeCell ref="B27:B28"/>
    <mergeCell ref="D27:E27"/>
    <mergeCell ref="H27:I27"/>
    <mergeCell ref="D28:E28"/>
    <mergeCell ref="F28:G28"/>
    <mergeCell ref="H28:I28"/>
    <mergeCell ref="A31:B31"/>
    <mergeCell ref="D31:E31"/>
    <mergeCell ref="F31:G31"/>
    <mergeCell ref="H31:I31"/>
    <mergeCell ref="A29:B29"/>
    <mergeCell ref="D29:E29"/>
    <mergeCell ref="F29:G29"/>
    <mergeCell ref="H29:I29"/>
    <mergeCell ref="A30:B30"/>
    <mergeCell ref="D30:E30"/>
    <mergeCell ref="F30:G30"/>
    <mergeCell ref="H30:I30"/>
  </mergeCells>
  <printOptions horizontalCentered="1"/>
  <pageMargins left="0" right="0" top="0.39374999999999999" bottom="0.196527777777778" header="0.51180555555555496" footer="0.51180555555555496"/>
  <pageSetup paperSize="9" firstPageNumber="0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M46"/>
  <sheetViews>
    <sheetView showZeros="0" tabSelected="1" view="pageBreakPreview" zoomScaleNormal="100" zoomScaleSheetLayoutView="100" workbookViewId="0">
      <selection activeCell="F13" sqref="F13"/>
    </sheetView>
  </sheetViews>
  <sheetFormatPr defaultRowHeight="15" x14ac:dyDescent="0.25"/>
  <cols>
    <col min="1" max="1" width="10.140625" style="224" customWidth="1"/>
    <col min="2" max="2" width="60" style="223" customWidth="1"/>
    <col min="3" max="3" width="14.7109375" style="224" customWidth="1"/>
    <col min="4" max="4" width="24.7109375" style="224" customWidth="1"/>
    <col min="5" max="5" width="21.7109375" style="224" customWidth="1"/>
    <col min="6" max="6" width="54.7109375" style="223" customWidth="1"/>
  </cols>
  <sheetData>
    <row r="8" spans="1:6" ht="19.149999999999999" customHeight="1" thickBot="1" x14ac:dyDescent="0.3"/>
    <row r="9" spans="1:6" ht="34.5" thickBot="1" x14ac:dyDescent="0.3">
      <c r="A9" s="281" t="s">
        <v>109</v>
      </c>
      <c r="B9" s="282"/>
      <c r="C9" s="282"/>
      <c r="D9" s="282"/>
      <c r="E9" s="282"/>
      <c r="F9" s="283"/>
    </row>
    <row r="10" spans="1:6" ht="16.5" thickBot="1" x14ac:dyDescent="0.3">
      <c r="A10" s="227"/>
      <c r="B10" s="227"/>
      <c r="C10" s="227"/>
      <c r="D10" s="228"/>
      <c r="E10" s="228"/>
      <c r="F10" s="228"/>
    </row>
    <row r="11" spans="1:6" ht="24" customHeight="1" x14ac:dyDescent="0.35">
      <c r="A11" s="284" t="s">
        <v>195</v>
      </c>
      <c r="B11" s="285"/>
      <c r="C11" s="286"/>
      <c r="D11" s="287" t="s">
        <v>140</v>
      </c>
      <c r="E11" s="288"/>
      <c r="F11" s="248" t="s">
        <v>196</v>
      </c>
    </row>
    <row r="12" spans="1:6" ht="24" customHeight="1" x14ac:dyDescent="0.35">
      <c r="A12" s="289" t="s">
        <v>197</v>
      </c>
      <c r="B12" s="290"/>
      <c r="C12" s="291"/>
      <c r="D12" s="292" t="s">
        <v>194</v>
      </c>
      <c r="E12" s="293"/>
      <c r="F12" s="249" t="s">
        <v>215</v>
      </c>
    </row>
    <row r="13" spans="1:6" ht="24" customHeight="1" thickBot="1" x14ac:dyDescent="0.35">
      <c r="A13" s="294" t="s">
        <v>198</v>
      </c>
      <c r="B13" s="295"/>
      <c r="C13" s="296"/>
      <c r="D13" s="229"/>
      <c r="E13" s="230"/>
      <c r="F13" s="250"/>
    </row>
    <row r="14" spans="1:6" ht="7.15" customHeight="1" thickBot="1" x14ac:dyDescent="0.3">
      <c r="A14" s="227"/>
      <c r="B14" s="227"/>
      <c r="C14" s="227"/>
      <c r="D14" s="228"/>
      <c r="E14" s="228"/>
      <c r="F14" s="228"/>
    </row>
    <row r="15" spans="1:6" s="252" customFormat="1" ht="24" customHeight="1" x14ac:dyDescent="0.3">
      <c r="A15" s="297" t="s">
        <v>199</v>
      </c>
      <c r="B15" s="298"/>
      <c r="C15" s="298"/>
      <c r="D15" s="298"/>
      <c r="E15" s="242" t="s">
        <v>209</v>
      </c>
      <c r="F15" s="251"/>
    </row>
    <row r="16" spans="1:6" ht="24" customHeight="1" x14ac:dyDescent="0.3">
      <c r="A16" s="299" t="s">
        <v>214</v>
      </c>
      <c r="B16" s="300"/>
      <c r="C16" s="300"/>
      <c r="D16" s="301"/>
      <c r="E16" s="253" t="s">
        <v>207</v>
      </c>
      <c r="F16" s="255"/>
    </row>
    <row r="17" spans="1:9" ht="24" customHeight="1" thickBot="1" x14ac:dyDescent="0.35">
      <c r="A17" s="302"/>
      <c r="B17" s="303"/>
      <c r="C17" s="303"/>
      <c r="D17" s="303"/>
      <c r="E17" s="254" t="s">
        <v>208</v>
      </c>
      <c r="F17" s="243"/>
    </row>
    <row r="18" spans="1:9" ht="16.5" thickBot="1" x14ac:dyDescent="0.3">
      <c r="A18" s="225"/>
      <c r="B18" s="225"/>
      <c r="C18" s="225"/>
      <c r="D18" s="225"/>
      <c r="E18" s="225"/>
      <c r="F18" s="231"/>
    </row>
    <row r="19" spans="1:9" ht="21" x14ac:dyDescent="0.35">
      <c r="A19" s="304" t="s">
        <v>118</v>
      </c>
      <c r="B19" s="306" t="s">
        <v>142</v>
      </c>
      <c r="C19" s="308" t="s">
        <v>120</v>
      </c>
      <c r="D19" s="310" t="s">
        <v>121</v>
      </c>
      <c r="E19" s="311"/>
      <c r="F19" s="312" t="s">
        <v>122</v>
      </c>
    </row>
    <row r="20" spans="1:9" ht="21" x14ac:dyDescent="0.35">
      <c r="A20" s="305"/>
      <c r="B20" s="307"/>
      <c r="C20" s="309"/>
      <c r="D20" s="314" t="s">
        <v>210</v>
      </c>
      <c r="E20" s="315"/>
      <c r="F20" s="313"/>
    </row>
    <row r="21" spans="1:9" ht="14.45" customHeight="1" x14ac:dyDescent="0.25">
      <c r="A21" s="305"/>
      <c r="B21" s="307"/>
      <c r="C21" s="309"/>
      <c r="D21" s="316" t="s">
        <v>212</v>
      </c>
      <c r="E21" s="318" t="s">
        <v>211</v>
      </c>
      <c r="F21" s="313"/>
    </row>
    <row r="22" spans="1:9" ht="71.45" customHeight="1" x14ac:dyDescent="0.25">
      <c r="A22" s="305"/>
      <c r="B22" s="307"/>
      <c r="C22" s="309"/>
      <c r="D22" s="317"/>
      <c r="E22" s="318"/>
      <c r="F22" s="313"/>
    </row>
    <row r="23" spans="1:9" ht="21" x14ac:dyDescent="0.35">
      <c r="A23" s="305">
        <v>1</v>
      </c>
      <c r="B23" s="319" t="s">
        <v>214</v>
      </c>
      <c r="C23" s="258" t="s">
        <v>193</v>
      </c>
      <c r="D23" s="320">
        <v>1206.29</v>
      </c>
      <c r="E23" s="321"/>
      <c r="F23" s="256">
        <f>D23</f>
        <v>1206.29</v>
      </c>
    </row>
    <row r="24" spans="1:9" ht="21" x14ac:dyDescent="0.35">
      <c r="A24" s="305"/>
      <c r="B24" s="319"/>
      <c r="C24" s="258" t="s">
        <v>128</v>
      </c>
      <c r="D24" s="320">
        <v>410065.04</v>
      </c>
      <c r="E24" s="321"/>
      <c r="F24" s="256">
        <f>D24</f>
        <v>410065.04</v>
      </c>
    </row>
    <row r="25" spans="1:9" ht="21" x14ac:dyDescent="0.35">
      <c r="A25" s="305">
        <v>2</v>
      </c>
      <c r="B25" s="319"/>
      <c r="C25" s="258" t="s">
        <v>193</v>
      </c>
      <c r="D25" s="320">
        <v>0</v>
      </c>
      <c r="E25" s="321"/>
      <c r="F25" s="256">
        <f t="shared" ref="F25:F28" si="0">D25</f>
        <v>0</v>
      </c>
    </row>
    <row r="26" spans="1:9" ht="21" x14ac:dyDescent="0.35">
      <c r="A26" s="305"/>
      <c r="B26" s="319"/>
      <c r="C26" s="258" t="s">
        <v>128</v>
      </c>
      <c r="D26" s="320">
        <v>0</v>
      </c>
      <c r="E26" s="321"/>
      <c r="F26" s="256">
        <f t="shared" si="0"/>
        <v>0</v>
      </c>
    </row>
    <row r="27" spans="1:9" ht="21" x14ac:dyDescent="0.35">
      <c r="A27" s="305">
        <v>3</v>
      </c>
      <c r="B27" s="323"/>
      <c r="C27" s="258" t="s">
        <v>200</v>
      </c>
      <c r="D27" s="320">
        <v>0</v>
      </c>
      <c r="E27" s="321"/>
      <c r="F27" s="256">
        <f t="shared" si="0"/>
        <v>0</v>
      </c>
    </row>
    <row r="28" spans="1:9" ht="21.75" thickBot="1" x14ac:dyDescent="0.4">
      <c r="A28" s="322"/>
      <c r="B28" s="324"/>
      <c r="C28" s="259" t="s">
        <v>128</v>
      </c>
      <c r="D28" s="325">
        <v>0</v>
      </c>
      <c r="E28" s="326"/>
      <c r="F28" s="257">
        <f t="shared" si="0"/>
        <v>0</v>
      </c>
      <c r="I28" s="244" t="s">
        <v>204</v>
      </c>
    </row>
    <row r="29" spans="1:9" ht="16.5" thickBot="1" x14ac:dyDescent="0.3">
      <c r="A29" s="232"/>
      <c r="B29" s="233"/>
      <c r="C29" s="228"/>
      <c r="D29" s="234"/>
      <c r="E29" s="234"/>
      <c r="F29" s="234"/>
    </row>
    <row r="30" spans="1:9" x14ac:dyDescent="0.25">
      <c r="A30" s="329" t="s">
        <v>134</v>
      </c>
      <c r="B30" s="330"/>
      <c r="C30" s="333" t="s">
        <v>128</v>
      </c>
      <c r="D30" s="335">
        <v>400000</v>
      </c>
      <c r="E30" s="336"/>
      <c r="F30" s="327">
        <f>D30</f>
        <v>400000</v>
      </c>
    </row>
    <row r="31" spans="1:9" ht="15.75" thickBot="1" x14ac:dyDescent="0.3">
      <c r="A31" s="331"/>
      <c r="B31" s="332"/>
      <c r="C31" s="334"/>
      <c r="D31" s="337"/>
      <c r="E31" s="338"/>
      <c r="F31" s="328"/>
    </row>
    <row r="32" spans="1:9" ht="14.45" customHeight="1" x14ac:dyDescent="0.25">
      <c r="A32" s="330" t="s">
        <v>135</v>
      </c>
      <c r="B32" s="339"/>
      <c r="C32" s="333" t="s">
        <v>128</v>
      </c>
      <c r="D32" s="343">
        <f>F24-D30</f>
        <v>10065.039999999979</v>
      </c>
      <c r="E32" s="344"/>
      <c r="F32" s="327">
        <f t="shared" ref="F32" si="1">D32</f>
        <v>10065.039999999979</v>
      </c>
    </row>
    <row r="33" spans="1:13" ht="15" customHeight="1" thickBot="1" x14ac:dyDescent="0.3">
      <c r="A33" s="340"/>
      <c r="B33" s="341"/>
      <c r="C33" s="342"/>
      <c r="D33" s="345"/>
      <c r="E33" s="346"/>
      <c r="F33" s="328"/>
    </row>
    <row r="34" spans="1:13" ht="14.45" customHeight="1" x14ac:dyDescent="0.25">
      <c r="A34" s="330" t="s">
        <v>201</v>
      </c>
      <c r="B34" s="339"/>
      <c r="C34" s="333" t="s">
        <v>128</v>
      </c>
      <c r="D34" s="343">
        <f>D30+D32</f>
        <v>410065.04</v>
      </c>
      <c r="E34" s="344"/>
      <c r="F34" s="327">
        <f t="shared" ref="F34" si="2">D34</f>
        <v>410065.04</v>
      </c>
    </row>
    <row r="35" spans="1:13" ht="15" customHeight="1" thickBot="1" x14ac:dyDescent="0.3">
      <c r="A35" s="340"/>
      <c r="B35" s="341"/>
      <c r="C35" s="342"/>
      <c r="D35" s="345"/>
      <c r="E35" s="346"/>
      <c r="F35" s="354"/>
    </row>
    <row r="36" spans="1:13" ht="16.5" thickBot="1" x14ac:dyDescent="0.3">
      <c r="A36" s="225"/>
      <c r="B36" s="226"/>
      <c r="C36" s="225"/>
      <c r="D36" s="225"/>
      <c r="E36" s="225"/>
      <c r="F36" s="226"/>
    </row>
    <row r="37" spans="1:13" ht="18.75" x14ac:dyDescent="0.3">
      <c r="A37" s="347" t="s">
        <v>213</v>
      </c>
      <c r="B37" s="348"/>
      <c r="C37" s="348"/>
      <c r="D37" s="348"/>
      <c r="E37" s="348"/>
      <c r="F37" s="349"/>
    </row>
    <row r="38" spans="1:13" ht="18.75" x14ac:dyDescent="0.3">
      <c r="A38" s="235"/>
      <c r="B38" s="237"/>
      <c r="C38" s="237"/>
      <c r="D38" s="237"/>
      <c r="E38" s="237"/>
      <c r="F38" s="238"/>
    </row>
    <row r="39" spans="1:13" ht="18.75" x14ac:dyDescent="0.3">
      <c r="A39" s="236"/>
      <c r="B39" s="239"/>
      <c r="C39" s="239"/>
      <c r="D39" s="239"/>
      <c r="E39" s="240"/>
      <c r="F39" s="241"/>
    </row>
    <row r="40" spans="1:13" s="62" customFormat="1" ht="19.5" x14ac:dyDescent="0.25">
      <c r="A40" s="350" t="s">
        <v>205</v>
      </c>
      <c r="B40" s="351"/>
      <c r="C40" s="245"/>
      <c r="D40" s="245"/>
      <c r="E40" s="351" t="s">
        <v>203</v>
      </c>
      <c r="F40" s="355"/>
      <c r="M40"/>
    </row>
    <row r="41" spans="1:13" s="246" customFormat="1" ht="16.5" thickBot="1" x14ac:dyDescent="0.3">
      <c r="A41" s="352" t="s">
        <v>108</v>
      </c>
      <c r="B41" s="353"/>
      <c r="C41" s="247"/>
      <c r="D41" s="247"/>
      <c r="E41" s="353" t="s">
        <v>202</v>
      </c>
      <c r="F41" s="356"/>
      <c r="M41"/>
    </row>
    <row r="44" spans="1:13" x14ac:dyDescent="0.25">
      <c r="M44" s="62"/>
    </row>
    <row r="45" spans="1:13" ht="15.75" x14ac:dyDescent="0.25">
      <c r="M45" s="246"/>
    </row>
    <row r="46" spans="1:13" x14ac:dyDescent="0.25">
      <c r="I46" t="s">
        <v>206</v>
      </c>
    </row>
  </sheetData>
  <mergeCells count="45">
    <mergeCell ref="A37:F37"/>
    <mergeCell ref="A40:B40"/>
    <mergeCell ref="A41:B41"/>
    <mergeCell ref="A34:B35"/>
    <mergeCell ref="C34:C35"/>
    <mergeCell ref="D34:E35"/>
    <mergeCell ref="F34:F35"/>
    <mergeCell ref="E40:F40"/>
    <mergeCell ref="E41:F41"/>
    <mergeCell ref="F32:F33"/>
    <mergeCell ref="A30:B31"/>
    <mergeCell ref="C30:C31"/>
    <mergeCell ref="D30:E31"/>
    <mergeCell ref="F30:F31"/>
    <mergeCell ref="A32:B33"/>
    <mergeCell ref="C32:C33"/>
    <mergeCell ref="D32:E33"/>
    <mergeCell ref="A25:A26"/>
    <mergeCell ref="B25:B26"/>
    <mergeCell ref="D25:E25"/>
    <mergeCell ref="D26:E26"/>
    <mergeCell ref="A27:A28"/>
    <mergeCell ref="B27:B28"/>
    <mergeCell ref="D27:E27"/>
    <mergeCell ref="D28:E28"/>
    <mergeCell ref="F19:F22"/>
    <mergeCell ref="D20:E20"/>
    <mergeCell ref="D21:D22"/>
    <mergeCell ref="E21:E22"/>
    <mergeCell ref="A23:A24"/>
    <mergeCell ref="B23:B24"/>
    <mergeCell ref="D23:E23"/>
    <mergeCell ref="D24:E24"/>
    <mergeCell ref="A13:C13"/>
    <mergeCell ref="A15:D15"/>
    <mergeCell ref="A16:D17"/>
    <mergeCell ref="A19:A22"/>
    <mergeCell ref="B19:B22"/>
    <mergeCell ref="C19:C22"/>
    <mergeCell ref="D19:E19"/>
    <mergeCell ref="A9:F9"/>
    <mergeCell ref="A11:C11"/>
    <mergeCell ref="D11:E11"/>
    <mergeCell ref="A12:C12"/>
    <mergeCell ref="D12:E12"/>
  </mergeCells>
  <pageMargins left="0.9055118110236221" right="0.31496062992125984" top="0.39370078740157483" bottom="0.39370078740157483" header="0" footer="0"/>
  <pageSetup paperSize="9" scale="6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51"/>
  <sheetViews>
    <sheetView view="pageBreakPreview" workbookViewId="0">
      <pane ySplit="15" topLeftCell="A16" activePane="bottomLeft" state="frozen"/>
      <selection pane="bottomLeft" activeCell="A16" sqref="A16"/>
    </sheetView>
  </sheetViews>
  <sheetFormatPr defaultRowHeight="15" x14ac:dyDescent="0.25"/>
  <cols>
    <col min="1" max="1" width="8.7109375" customWidth="1"/>
    <col min="2" max="2" width="11.42578125"/>
    <col min="3" max="3" width="64" customWidth="1"/>
    <col min="4" max="4" width="7.85546875" customWidth="1"/>
    <col min="5" max="5" width="10" customWidth="1"/>
    <col min="6" max="6" width="12.42578125" customWidth="1"/>
    <col min="7" max="7" width="17.140625" customWidth="1"/>
    <col min="8" max="8" width="10.5703125" customWidth="1"/>
    <col min="9" max="9" width="16.5703125" customWidth="1"/>
    <col min="10" max="10" width="13.85546875" customWidth="1"/>
    <col min="11" max="11" width="14.7109375" customWidth="1"/>
    <col min="12" max="1025" width="8.7109375" customWidth="1"/>
  </cols>
  <sheetData>
    <row r="9" spans="1:11" x14ac:dyDescent="0.25">
      <c r="A9" t="s">
        <v>58</v>
      </c>
    </row>
    <row r="10" spans="1:11" ht="3.75" customHeight="1" x14ac:dyDescent="0.25"/>
    <row r="11" spans="1:11" ht="21" x14ac:dyDescent="0.35">
      <c r="A11" t="s">
        <v>143</v>
      </c>
      <c r="D11" s="14" t="s">
        <v>59</v>
      </c>
    </row>
    <row r="12" spans="1:11" ht="3" customHeight="1" x14ac:dyDescent="0.25"/>
    <row r="13" spans="1:11" x14ac:dyDescent="0.25">
      <c r="A13" t="s">
        <v>2</v>
      </c>
      <c r="F13" s="1" t="s">
        <v>3</v>
      </c>
      <c r="G13" s="1"/>
    </row>
    <row r="14" spans="1:11" ht="25.5" customHeight="1" x14ac:dyDescent="0.25">
      <c r="A14" s="263" t="s">
        <v>4</v>
      </c>
      <c r="B14" s="264" t="s">
        <v>5</v>
      </c>
      <c r="C14" s="262" t="s">
        <v>7</v>
      </c>
      <c r="D14" s="262" t="s">
        <v>9</v>
      </c>
      <c r="E14" s="262" t="s">
        <v>8</v>
      </c>
      <c r="F14" s="359" t="s">
        <v>10</v>
      </c>
      <c r="G14" s="359"/>
      <c r="H14" s="92" t="s">
        <v>146</v>
      </c>
      <c r="I14" s="93" t="s">
        <v>147</v>
      </c>
      <c r="J14" s="90" t="s">
        <v>144</v>
      </c>
      <c r="K14" s="91" t="s">
        <v>145</v>
      </c>
    </row>
    <row r="15" spans="1:11" ht="15.75" x14ac:dyDescent="0.25">
      <c r="A15" s="263"/>
      <c r="B15" s="264"/>
      <c r="C15" s="262"/>
      <c r="D15" s="262"/>
      <c r="E15" s="262"/>
      <c r="F15" s="15" t="s">
        <v>11</v>
      </c>
      <c r="G15" s="64" t="s">
        <v>12</v>
      </c>
      <c r="H15" s="105"/>
      <c r="I15" s="106"/>
      <c r="J15" s="107"/>
      <c r="K15" s="107"/>
    </row>
    <row r="16" spans="1:11" ht="26.25" x14ac:dyDescent="0.25">
      <c r="A16" s="16">
        <v>1</v>
      </c>
      <c r="B16" s="17" t="s">
        <v>60</v>
      </c>
      <c r="C16" s="18" t="s">
        <v>18</v>
      </c>
      <c r="D16" s="19"/>
      <c r="E16" s="20"/>
      <c r="F16" s="21"/>
      <c r="G16" s="108">
        <f>SUM(G17:G19)</f>
        <v>15897.539999999999</v>
      </c>
      <c r="H16" s="109"/>
      <c r="I16" s="110"/>
      <c r="J16" s="111"/>
      <c r="K16" s="95"/>
    </row>
    <row r="17" spans="1:11" ht="45" customHeight="1" x14ac:dyDescent="0.25">
      <c r="A17" s="23" t="s">
        <v>14</v>
      </c>
      <c r="B17" s="24" t="s">
        <v>61</v>
      </c>
      <c r="C17" s="25" t="s">
        <v>62</v>
      </c>
      <c r="D17" s="26" t="s">
        <v>22</v>
      </c>
      <c r="E17" s="27">
        <f>810+126</f>
        <v>936</v>
      </c>
      <c r="F17" s="28">
        <f>ROUND(5.87*(1+$D$35),2)</f>
        <v>7.63</v>
      </c>
      <c r="G17" s="112">
        <f>ROUND(F17*E17,2)</f>
        <v>7141.68</v>
      </c>
      <c r="H17" s="113"/>
      <c r="I17" s="114">
        <f>G17*H17</f>
        <v>0</v>
      </c>
      <c r="J17" s="115">
        <f>H17</f>
        <v>0</v>
      </c>
      <c r="K17" s="116">
        <f>J17*G17</f>
        <v>0</v>
      </c>
    </row>
    <row r="18" spans="1:11" ht="44.25" customHeight="1" x14ac:dyDescent="0.25">
      <c r="A18" s="23" t="s">
        <v>63</v>
      </c>
      <c r="B18" s="24" t="s">
        <v>64</v>
      </c>
      <c r="C18" s="25" t="s">
        <v>160</v>
      </c>
      <c r="D18" s="26" t="s">
        <v>22</v>
      </c>
      <c r="E18" s="27">
        <v>890.49</v>
      </c>
      <c r="F18" s="28">
        <f>ROUND(7.15*(1+$D$35),2)</f>
        <v>9.3000000000000007</v>
      </c>
      <c r="G18" s="112">
        <f>ROUND(F18*E18,2)</f>
        <v>8281.56</v>
      </c>
      <c r="H18" s="113"/>
      <c r="I18" s="114">
        <f>G18*H18</f>
        <v>0</v>
      </c>
      <c r="J18" s="115">
        <f>H18</f>
        <v>0</v>
      </c>
      <c r="K18" s="116">
        <f>J18*G18</f>
        <v>0</v>
      </c>
    </row>
    <row r="19" spans="1:11" ht="30" customHeight="1" x14ac:dyDescent="0.25">
      <c r="A19" s="23" t="s">
        <v>66</v>
      </c>
      <c r="B19" s="24" t="s">
        <v>67</v>
      </c>
      <c r="C19" s="25" t="s">
        <v>28</v>
      </c>
      <c r="D19" s="26" t="s">
        <v>17</v>
      </c>
      <c r="E19" s="27">
        <v>127.5</v>
      </c>
      <c r="F19" s="28">
        <f>ROUND(2.86*(1+$D$35),2)</f>
        <v>3.72</v>
      </c>
      <c r="G19" s="112">
        <f>ROUND(F19*E19,2)</f>
        <v>474.3</v>
      </c>
      <c r="H19" s="113"/>
      <c r="I19" s="114">
        <f>G19*H19</f>
        <v>0</v>
      </c>
      <c r="J19" s="115">
        <f>H19</f>
        <v>0</v>
      </c>
      <c r="K19" s="116">
        <f>J19*G19</f>
        <v>0</v>
      </c>
    </row>
    <row r="20" spans="1:11" ht="30" x14ac:dyDescent="0.25">
      <c r="A20" s="16">
        <v>2</v>
      </c>
      <c r="B20" s="29" t="s">
        <v>68</v>
      </c>
      <c r="C20" s="18" t="s">
        <v>29</v>
      </c>
      <c r="D20" s="30"/>
      <c r="E20" s="31"/>
      <c r="F20" s="32"/>
      <c r="G20" s="117">
        <f>SUM(G21:G22)</f>
        <v>37426.839999999997</v>
      </c>
      <c r="H20" s="113"/>
      <c r="I20" s="114"/>
      <c r="J20" s="115"/>
      <c r="K20" s="116"/>
    </row>
    <row r="21" spans="1:11" ht="18" customHeight="1" x14ac:dyDescent="0.25">
      <c r="A21" s="23" t="s">
        <v>19</v>
      </c>
      <c r="B21" s="24" t="s">
        <v>69</v>
      </c>
      <c r="C21" s="35" t="s">
        <v>32</v>
      </c>
      <c r="D21" s="26" t="s">
        <v>33</v>
      </c>
      <c r="E21" s="27">
        <v>28</v>
      </c>
      <c r="F21" s="28">
        <f>ROUND(94.14*(1+$D$35),2)</f>
        <v>122.38</v>
      </c>
      <c r="G21" s="112">
        <f>ROUND(F21*E21,2)</f>
        <v>3426.64</v>
      </c>
      <c r="H21" s="113"/>
      <c r="I21" s="114">
        <f>G21*H21</f>
        <v>0</v>
      </c>
      <c r="J21" s="115">
        <f>H21</f>
        <v>0</v>
      </c>
      <c r="K21" s="116">
        <f>J21*G21</f>
        <v>0</v>
      </c>
    </row>
    <row r="22" spans="1:11" ht="15.75" customHeight="1" x14ac:dyDescent="0.25">
      <c r="A22" s="23" t="s">
        <v>23</v>
      </c>
      <c r="B22" s="24" t="s">
        <v>70</v>
      </c>
      <c r="C22" s="36" t="s">
        <v>71</v>
      </c>
      <c r="D22" s="26" t="s">
        <v>33</v>
      </c>
      <c r="E22" s="27">
        <v>180</v>
      </c>
      <c r="F22" s="28">
        <f>ROUND(145.3*(1+$D$35),2)</f>
        <v>188.89</v>
      </c>
      <c r="G22" s="112">
        <f>ROUND(F22*E22,2)</f>
        <v>34000.199999999997</v>
      </c>
      <c r="H22" s="113"/>
      <c r="I22" s="114">
        <f>G22*H22</f>
        <v>0</v>
      </c>
      <c r="J22" s="115">
        <f>H22</f>
        <v>0</v>
      </c>
      <c r="K22" s="116">
        <f>J22*G22</f>
        <v>0</v>
      </c>
    </row>
    <row r="23" spans="1:11" ht="26.25" x14ac:dyDescent="0.25">
      <c r="A23" s="37">
        <v>3</v>
      </c>
      <c r="B23" s="17" t="s">
        <v>60</v>
      </c>
      <c r="C23" s="18" t="s">
        <v>72</v>
      </c>
      <c r="D23" s="19"/>
      <c r="E23" s="31"/>
      <c r="F23" s="32"/>
      <c r="G23" s="117">
        <f>SUM(G24:G25)</f>
        <v>15246.72</v>
      </c>
      <c r="H23" s="113"/>
      <c r="I23" s="114"/>
      <c r="J23" s="115"/>
      <c r="K23" s="116"/>
    </row>
    <row r="24" spans="1:11" ht="43.5" customHeight="1" x14ac:dyDescent="0.25">
      <c r="A24" s="23" t="s">
        <v>30</v>
      </c>
      <c r="B24" s="24" t="s">
        <v>73</v>
      </c>
      <c r="C24" s="38" t="s">
        <v>43</v>
      </c>
      <c r="D24" s="39" t="s">
        <v>44</v>
      </c>
      <c r="E24" s="27">
        <v>4</v>
      </c>
      <c r="F24" s="28">
        <f>ROUND(1454.89*(1+$D$35),2)</f>
        <v>1891.36</v>
      </c>
      <c r="G24" s="112">
        <f>ROUND(F24*E24,2)</f>
        <v>7565.44</v>
      </c>
      <c r="H24" s="113"/>
      <c r="I24" s="114">
        <f>G24*H24</f>
        <v>0</v>
      </c>
      <c r="J24" s="115">
        <f>H24</f>
        <v>0</v>
      </c>
      <c r="K24" s="116">
        <f>J24*G24</f>
        <v>0</v>
      </c>
    </row>
    <row r="25" spans="1:11" ht="43.5" customHeight="1" x14ac:dyDescent="0.25">
      <c r="A25" s="23" t="s">
        <v>34</v>
      </c>
      <c r="B25" s="24" t="s">
        <v>74</v>
      </c>
      <c r="C25" s="38" t="s">
        <v>50</v>
      </c>
      <c r="D25" s="39" t="s">
        <v>44</v>
      </c>
      <c r="E25" s="27">
        <v>2</v>
      </c>
      <c r="F25" s="28">
        <f>ROUND(2954.34*(1+$D$35),2)</f>
        <v>3840.64</v>
      </c>
      <c r="G25" s="112">
        <f>ROUND(F25*E25,2)</f>
        <v>7681.28</v>
      </c>
      <c r="H25" s="113"/>
      <c r="I25" s="114">
        <f>G25*H25</f>
        <v>0</v>
      </c>
      <c r="J25" s="115">
        <f>H25</f>
        <v>0</v>
      </c>
      <c r="K25" s="116">
        <f>J25*G25</f>
        <v>0</v>
      </c>
    </row>
    <row r="26" spans="1:11" ht="28.5" customHeight="1" x14ac:dyDescent="0.25">
      <c r="A26" s="37">
        <v>4</v>
      </c>
      <c r="B26" s="17" t="s">
        <v>60</v>
      </c>
      <c r="C26" s="18" t="s">
        <v>75</v>
      </c>
      <c r="D26" s="40" t="s">
        <v>17</v>
      </c>
      <c r="E26" s="41">
        <v>5400.06</v>
      </c>
      <c r="F26" s="94">
        <f>G26/E26</f>
        <v>15.820000148146503</v>
      </c>
      <c r="G26" s="117">
        <f>SUM(G31:G33)</f>
        <v>85428.950000000012</v>
      </c>
      <c r="H26" s="113"/>
      <c r="I26" s="114"/>
      <c r="J26" s="115"/>
      <c r="K26" s="116"/>
    </row>
    <row r="27" spans="1:11" ht="33" customHeight="1" x14ac:dyDescent="0.25">
      <c r="A27" s="43" t="s">
        <v>41</v>
      </c>
      <c r="B27" s="44" t="s">
        <v>77</v>
      </c>
      <c r="C27" s="45" t="s">
        <v>78</v>
      </c>
      <c r="D27" s="46" t="s">
        <v>22</v>
      </c>
      <c r="E27" s="47">
        <f>ROUND($E$26*0.25,2)</f>
        <v>1350.02</v>
      </c>
      <c r="F27" s="28"/>
      <c r="G27" s="112" t="s">
        <v>148</v>
      </c>
      <c r="H27" s="113"/>
      <c r="I27" s="114"/>
      <c r="J27" s="115"/>
      <c r="K27" s="116"/>
    </row>
    <row r="28" spans="1:11" ht="24" customHeight="1" x14ac:dyDescent="0.25">
      <c r="A28" s="43" t="s">
        <v>45</v>
      </c>
      <c r="B28" s="44" t="s">
        <v>149</v>
      </c>
      <c r="C28" s="45" t="s">
        <v>150</v>
      </c>
      <c r="D28" s="46" t="s">
        <v>17</v>
      </c>
      <c r="E28" s="96">
        <f>$E$26</f>
        <v>5400.06</v>
      </c>
      <c r="F28" s="28"/>
      <c r="G28" s="112" t="s">
        <v>148</v>
      </c>
      <c r="H28" s="113"/>
      <c r="I28" s="114"/>
      <c r="J28" s="115"/>
      <c r="K28" s="116"/>
    </row>
    <row r="29" spans="1:11" ht="28.5" customHeight="1" x14ac:dyDescent="0.25">
      <c r="A29" s="43" t="s">
        <v>48</v>
      </c>
      <c r="B29" s="44" t="s">
        <v>87</v>
      </c>
      <c r="C29" s="49" t="s">
        <v>151</v>
      </c>
      <c r="D29" s="46" t="s">
        <v>17</v>
      </c>
      <c r="E29" s="96">
        <f>E28</f>
        <v>5400.06</v>
      </c>
      <c r="F29" s="28"/>
      <c r="G29" s="112" t="s">
        <v>148</v>
      </c>
      <c r="H29" s="113"/>
      <c r="I29" s="114"/>
      <c r="J29" s="115"/>
      <c r="K29" s="116"/>
    </row>
    <row r="30" spans="1:11" ht="41.25" customHeight="1" x14ac:dyDescent="0.25">
      <c r="A30" s="43" t="s">
        <v>51</v>
      </c>
      <c r="B30" s="44" t="s">
        <v>152</v>
      </c>
      <c r="C30" s="49" t="s">
        <v>153</v>
      </c>
      <c r="D30" s="46" t="s">
        <v>22</v>
      </c>
      <c r="E30" s="47">
        <f>ROUND($E$26*0.2,2)</f>
        <v>1080.01</v>
      </c>
      <c r="F30" s="28"/>
      <c r="G30" s="112" t="s">
        <v>148</v>
      </c>
      <c r="H30" s="113"/>
      <c r="I30" s="114"/>
      <c r="J30" s="115"/>
      <c r="K30" s="116"/>
    </row>
    <row r="31" spans="1:11" ht="18.75" customHeight="1" x14ac:dyDescent="0.25">
      <c r="A31" s="43" t="s">
        <v>54</v>
      </c>
      <c r="B31" s="44" t="s">
        <v>93</v>
      </c>
      <c r="C31" s="49" t="s">
        <v>94</v>
      </c>
      <c r="D31" s="46" t="s">
        <v>17</v>
      </c>
      <c r="E31" s="96">
        <f>E28</f>
        <v>5400.06</v>
      </c>
      <c r="F31" s="28">
        <f>ROUND(2.74*(1+$D$35),2)</f>
        <v>3.56</v>
      </c>
      <c r="G31" s="112">
        <f>ROUND(F31*E31,2)</f>
        <v>19224.21</v>
      </c>
      <c r="H31" s="113"/>
      <c r="I31" s="114">
        <f>G31*H31</f>
        <v>0</v>
      </c>
      <c r="J31" s="115">
        <f>H31</f>
        <v>0</v>
      </c>
      <c r="K31" s="116">
        <f>J31*G31</f>
        <v>0</v>
      </c>
    </row>
    <row r="32" spans="1:11" x14ac:dyDescent="0.25">
      <c r="A32" s="43" t="s">
        <v>86</v>
      </c>
      <c r="B32" s="44" t="s">
        <v>96</v>
      </c>
      <c r="C32" s="49" t="s">
        <v>97</v>
      </c>
      <c r="D32" s="46" t="s">
        <v>17</v>
      </c>
      <c r="E32" s="96">
        <f>E29</f>
        <v>5400.06</v>
      </c>
      <c r="F32" s="28">
        <f>ROUND(1.03*(1+$D$35),2)</f>
        <v>1.34</v>
      </c>
      <c r="G32" s="112">
        <f>ROUND(F32*E32,2)</f>
        <v>7236.08</v>
      </c>
      <c r="H32" s="113"/>
      <c r="I32" s="114">
        <f>G32*H32</f>
        <v>0</v>
      </c>
      <c r="J32" s="115">
        <f>H32</f>
        <v>0</v>
      </c>
      <c r="K32" s="116">
        <f>J32*G32</f>
        <v>0</v>
      </c>
    </row>
    <row r="33" spans="1:11" ht="25.5" x14ac:dyDescent="0.25">
      <c r="A33" s="43" t="s">
        <v>89</v>
      </c>
      <c r="B33" s="50" t="s">
        <v>154</v>
      </c>
      <c r="C33" s="51" t="s">
        <v>155</v>
      </c>
      <c r="D33" s="52" t="s">
        <v>17</v>
      </c>
      <c r="E33" s="96">
        <f>E26</f>
        <v>5400.06</v>
      </c>
      <c r="F33" s="28">
        <f>ROUND(8.4*(1+$D$35),2)</f>
        <v>10.92</v>
      </c>
      <c r="G33" s="112">
        <f>ROUND(F33*E33,2)</f>
        <v>58968.66</v>
      </c>
      <c r="H33" s="113"/>
      <c r="I33" s="114">
        <f>G33*H33</f>
        <v>0</v>
      </c>
      <c r="J33" s="115">
        <f>H33</f>
        <v>0</v>
      </c>
      <c r="K33" s="116">
        <f>J33*G33</f>
        <v>0</v>
      </c>
    </row>
    <row r="34" spans="1:11" x14ac:dyDescent="0.25">
      <c r="H34" s="118"/>
      <c r="I34" s="119"/>
    </row>
    <row r="35" spans="1:11" ht="15.75" x14ac:dyDescent="0.25">
      <c r="A35" s="53"/>
      <c r="B35" s="54"/>
      <c r="C35" s="55" t="s">
        <v>101</v>
      </c>
      <c r="D35" s="56">
        <v>0.3</v>
      </c>
      <c r="E35" s="57"/>
      <c r="F35" s="57"/>
      <c r="G35" s="58">
        <f>SUM(G16+G20+G23+G26)</f>
        <v>154000.04999999999</v>
      </c>
      <c r="H35" s="120">
        <f>I35/G35</f>
        <v>0</v>
      </c>
      <c r="I35" s="121">
        <f>SUM(I17:I34)</f>
        <v>0</v>
      </c>
      <c r="J35" s="122">
        <f>K35/G35</f>
        <v>0</v>
      </c>
      <c r="K35" s="58">
        <f>SUM(K17:K34)</f>
        <v>0</v>
      </c>
    </row>
    <row r="37" spans="1:11" x14ac:dyDescent="0.25">
      <c r="F37" s="59" t="s">
        <v>161</v>
      </c>
    </row>
    <row r="38" spans="1:11" x14ac:dyDescent="0.25">
      <c r="D38" s="60"/>
      <c r="E38" s="60"/>
      <c r="G38" s="61"/>
    </row>
    <row r="39" spans="1:11" ht="15.75" customHeight="1" x14ac:dyDescent="0.25">
      <c r="C39" s="360" t="s">
        <v>156</v>
      </c>
      <c r="D39" s="123"/>
      <c r="E39" s="123"/>
      <c r="F39" s="361"/>
      <c r="G39" s="361"/>
    </row>
    <row r="40" spans="1:11" x14ac:dyDescent="0.25">
      <c r="C40" s="360"/>
      <c r="D40" s="124" t="s">
        <v>157</v>
      </c>
      <c r="E40" s="124" t="s">
        <v>127</v>
      </c>
      <c r="F40" s="362" t="s">
        <v>141</v>
      </c>
      <c r="G40" s="362"/>
    </row>
    <row r="41" spans="1:11" ht="15.75" x14ac:dyDescent="0.25">
      <c r="C41" s="125" t="s">
        <v>162</v>
      </c>
      <c r="D41" s="126"/>
      <c r="E41" s="127">
        <f>F41/G35</f>
        <v>0</v>
      </c>
      <c r="F41" s="363">
        <f>I35</f>
        <v>0</v>
      </c>
      <c r="G41" s="363"/>
    </row>
    <row r="42" spans="1:11" ht="15.75" x14ac:dyDescent="0.25">
      <c r="C42" s="125"/>
      <c r="D42" s="126"/>
      <c r="E42" s="127"/>
      <c r="F42" s="128"/>
      <c r="G42" s="129"/>
    </row>
    <row r="43" spans="1:11" x14ac:dyDescent="0.25">
      <c r="C43" s="130" t="s">
        <v>158</v>
      </c>
      <c r="D43" s="131"/>
      <c r="E43" s="132">
        <f>F43/G35</f>
        <v>0</v>
      </c>
      <c r="F43" s="357">
        <f>SUM(F41:G42)</f>
        <v>0</v>
      </c>
      <c r="G43" s="357"/>
    </row>
    <row r="44" spans="1:11" x14ac:dyDescent="0.25">
      <c r="C44" s="133" t="s">
        <v>159</v>
      </c>
      <c r="D44" s="134"/>
      <c r="E44" s="135">
        <f>F44/G35</f>
        <v>1</v>
      </c>
      <c r="F44" s="358">
        <f>G35-F41</f>
        <v>154000.04999999999</v>
      </c>
      <c r="G44" s="358"/>
    </row>
    <row r="49" spans="3:6" x14ac:dyDescent="0.25">
      <c r="C49" s="61" t="s">
        <v>103</v>
      </c>
      <c r="F49" s="61" t="s">
        <v>104</v>
      </c>
    </row>
    <row r="50" spans="3:6" x14ac:dyDescent="0.25">
      <c r="C50" s="61" t="s">
        <v>105</v>
      </c>
      <c r="F50" s="61" t="s">
        <v>106</v>
      </c>
    </row>
    <row r="51" spans="3:6" x14ac:dyDescent="0.25">
      <c r="C51" t="s">
        <v>139</v>
      </c>
    </row>
  </sheetData>
  <mergeCells count="12">
    <mergeCell ref="A14:A15"/>
    <mergeCell ref="B14:B15"/>
    <mergeCell ref="C14:C15"/>
    <mergeCell ref="D14:D15"/>
    <mergeCell ref="E14:E15"/>
    <mergeCell ref="F43:G43"/>
    <mergeCell ref="F44:G44"/>
    <mergeCell ref="F14:G14"/>
    <mergeCell ref="C39:C40"/>
    <mergeCell ref="F39:G39"/>
    <mergeCell ref="F40:G40"/>
    <mergeCell ref="F41:G41"/>
  </mergeCells>
  <pageMargins left="0.51180555555555496" right="0.118055555555556" top="0.39374999999999999" bottom="0.59027777777777801" header="0.51180555555555496" footer="0.51180555555555496"/>
  <pageSetup paperSize="9" firstPageNumber="0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9:AMK38"/>
  <sheetViews>
    <sheetView view="pageBreakPreview" topLeftCell="A2" workbookViewId="0">
      <pane ySplit="12" topLeftCell="A26" activePane="bottomLeft" state="frozen"/>
      <selection activeCell="A2" sqref="A2"/>
      <selection pane="bottomLeft" activeCell="D31" sqref="D31"/>
    </sheetView>
  </sheetViews>
  <sheetFormatPr defaultRowHeight="15.75" x14ac:dyDescent="0.25"/>
  <cols>
    <col min="1" max="2" width="10.140625" style="136" customWidth="1"/>
    <col min="3" max="3" width="5.42578125" style="137" customWidth="1"/>
    <col min="4" max="4" width="47.28515625" style="136" customWidth="1"/>
    <col min="5" max="5" width="10.28515625" style="136" customWidth="1"/>
    <col min="6" max="6" width="12.28515625" style="138" customWidth="1"/>
    <col min="7" max="7" width="17.5703125" style="138" customWidth="1"/>
    <col min="8" max="8" width="15.42578125" style="136" customWidth="1"/>
    <col min="9" max="9" width="13.140625" style="136" customWidth="1"/>
    <col min="10" max="10" width="18" style="136" customWidth="1"/>
    <col min="11" max="12" width="15.42578125" style="136" customWidth="1"/>
    <col min="13" max="1025" width="9.140625" style="136" customWidth="1"/>
  </cols>
  <sheetData>
    <row r="9" spans="1:12" x14ac:dyDescent="0.25">
      <c r="A9" s="139" t="s">
        <v>163</v>
      </c>
    </row>
    <row r="10" spans="1:12" x14ac:dyDescent="0.25">
      <c r="A10" s="139" t="s">
        <v>164</v>
      </c>
    </row>
    <row r="11" spans="1:12" ht="18" x14ac:dyDescent="0.25">
      <c r="A11" s="139" t="s">
        <v>165</v>
      </c>
      <c r="G11" s="140" t="s">
        <v>166</v>
      </c>
    </row>
    <row r="12" spans="1:12" x14ac:dyDescent="0.25">
      <c r="A12" s="139"/>
    </row>
    <row r="13" spans="1:12" ht="35.25" customHeight="1" x14ac:dyDescent="0.25">
      <c r="A13" s="141" t="s">
        <v>167</v>
      </c>
      <c r="B13" s="141" t="s">
        <v>168</v>
      </c>
      <c r="C13" s="141" t="s">
        <v>169</v>
      </c>
      <c r="D13" s="141" t="s">
        <v>170</v>
      </c>
      <c r="E13" s="141" t="s">
        <v>171</v>
      </c>
      <c r="F13" s="141" t="s">
        <v>172</v>
      </c>
      <c r="G13" s="141" t="s">
        <v>173</v>
      </c>
      <c r="H13" s="142" t="s">
        <v>174</v>
      </c>
      <c r="I13" s="143" t="s">
        <v>146</v>
      </c>
      <c r="J13" s="144" t="s">
        <v>147</v>
      </c>
      <c r="K13" s="145" t="s">
        <v>144</v>
      </c>
      <c r="L13" s="141" t="s">
        <v>145</v>
      </c>
    </row>
    <row r="14" spans="1:12" s="150" customFormat="1" x14ac:dyDescent="0.25">
      <c r="A14" s="146"/>
      <c r="B14" s="146"/>
      <c r="C14" s="146">
        <v>1</v>
      </c>
      <c r="D14" s="146" t="s">
        <v>175</v>
      </c>
      <c r="E14" s="146"/>
      <c r="F14" s="146"/>
      <c r="G14" s="146"/>
      <c r="H14" s="147"/>
      <c r="I14" s="148"/>
      <c r="J14" s="149"/>
      <c r="K14" s="146"/>
      <c r="L14" s="146"/>
    </row>
    <row r="15" spans="1:12" s="150" customFormat="1" ht="43.5" customHeight="1" x14ac:dyDescent="0.25">
      <c r="A15" s="151" t="s">
        <v>176</v>
      </c>
      <c r="B15" s="152">
        <v>3062</v>
      </c>
      <c r="C15" s="153" t="s">
        <v>14</v>
      </c>
      <c r="D15" s="25" t="s">
        <v>21</v>
      </c>
      <c r="E15" s="154" t="s">
        <v>22</v>
      </c>
      <c r="F15" s="155">
        <v>7.64</v>
      </c>
      <c r="G15" s="27">
        <f>810+126</f>
        <v>936</v>
      </c>
      <c r="H15" s="98">
        <f>ROUND(F15*G15,2)</f>
        <v>7151.04</v>
      </c>
      <c r="I15" s="156">
        <v>0.2</v>
      </c>
      <c r="J15" s="99">
        <f>ROUND(F15*G15*I15,2)</f>
        <v>1430.21</v>
      </c>
      <c r="K15" s="97">
        <f t="shared" ref="K15:L17" si="0">I15</f>
        <v>0.2</v>
      </c>
      <c r="L15" s="98">
        <f t="shared" si="0"/>
        <v>1430.21</v>
      </c>
    </row>
    <row r="16" spans="1:12" s="150" customFormat="1" ht="58.5" customHeight="1" x14ac:dyDescent="0.25">
      <c r="A16" s="151" t="s">
        <v>177</v>
      </c>
      <c r="B16" s="157" t="s">
        <v>64</v>
      </c>
      <c r="C16" s="153" t="s">
        <v>63</v>
      </c>
      <c r="D16" s="25" t="s">
        <v>178</v>
      </c>
      <c r="E16" s="154" t="s">
        <v>22</v>
      </c>
      <c r="F16" s="155">
        <v>8.39</v>
      </c>
      <c r="G16" s="27">
        <v>890.49</v>
      </c>
      <c r="H16" s="98">
        <f>ROUND(F16*G16,2)</f>
        <v>7471.21</v>
      </c>
      <c r="I16" s="156">
        <v>0.2</v>
      </c>
      <c r="J16" s="99">
        <f>ROUND(F16*G16*I16,2)</f>
        <v>1494.24</v>
      </c>
      <c r="K16" s="97">
        <f t="shared" si="0"/>
        <v>0.2</v>
      </c>
      <c r="L16" s="98">
        <f t="shared" si="0"/>
        <v>1494.24</v>
      </c>
    </row>
    <row r="17" spans="1:12" s="150" customFormat="1" ht="30" customHeight="1" x14ac:dyDescent="0.25">
      <c r="A17" s="151" t="s">
        <v>179</v>
      </c>
      <c r="B17" s="157" t="s">
        <v>67</v>
      </c>
      <c r="C17" s="153" t="s">
        <v>66</v>
      </c>
      <c r="D17" s="25" t="s">
        <v>28</v>
      </c>
      <c r="E17" s="154" t="s">
        <v>17</v>
      </c>
      <c r="F17" s="155">
        <v>3.83</v>
      </c>
      <c r="G17" s="27">
        <v>127.5</v>
      </c>
      <c r="H17" s="98">
        <f>ROUND(F17*G17,2)</f>
        <v>488.33</v>
      </c>
      <c r="I17" s="156">
        <v>0.2</v>
      </c>
      <c r="J17" s="99">
        <f>ROUND(F17*G17*I17,2)</f>
        <v>97.67</v>
      </c>
      <c r="K17" s="97">
        <f t="shared" si="0"/>
        <v>0.2</v>
      </c>
      <c r="L17" s="98">
        <f t="shared" si="0"/>
        <v>97.67</v>
      </c>
    </row>
    <row r="18" spans="1:12" s="150" customFormat="1" ht="15" customHeight="1" x14ac:dyDescent="0.25">
      <c r="A18" s="146"/>
      <c r="B18" s="158"/>
      <c r="C18" s="159">
        <v>2</v>
      </c>
      <c r="D18" s="160" t="s">
        <v>180</v>
      </c>
      <c r="E18" s="161"/>
      <c r="F18" s="162"/>
      <c r="G18" s="160"/>
      <c r="H18" s="163"/>
      <c r="I18" s="164"/>
      <c r="J18" s="165"/>
      <c r="K18" s="166"/>
      <c r="L18" s="166"/>
    </row>
    <row r="19" spans="1:12" s="150" customFormat="1" ht="15" customHeight="1" x14ac:dyDescent="0.25">
      <c r="A19" s="167" t="s">
        <v>181</v>
      </c>
      <c r="B19" s="157" t="s">
        <v>69</v>
      </c>
      <c r="C19" s="153" t="s">
        <v>19</v>
      </c>
      <c r="D19" s="38" t="s">
        <v>182</v>
      </c>
      <c r="E19" s="154" t="s">
        <v>183</v>
      </c>
      <c r="F19" s="155">
        <v>125.97</v>
      </c>
      <c r="G19" s="168">
        <v>133</v>
      </c>
      <c r="H19" s="98">
        <f>ROUND(F19*G19,2)</f>
        <v>16754.009999999998</v>
      </c>
      <c r="I19" s="156">
        <v>0.35</v>
      </c>
      <c r="J19" s="99">
        <f>ROUND(F19*G19*I19,2)</f>
        <v>5863.9</v>
      </c>
      <c r="K19" s="169"/>
      <c r="L19" s="98">
        <f>J19</f>
        <v>5863.9</v>
      </c>
    </row>
    <row r="20" spans="1:12" s="150" customFormat="1" ht="15" customHeight="1" x14ac:dyDescent="0.25">
      <c r="A20" s="167" t="s">
        <v>181</v>
      </c>
      <c r="B20" s="157" t="s">
        <v>184</v>
      </c>
      <c r="C20" s="153" t="s">
        <v>23</v>
      </c>
      <c r="D20" s="38" t="s">
        <v>185</v>
      </c>
      <c r="E20" s="154" t="s">
        <v>183</v>
      </c>
      <c r="F20" s="155">
        <v>298.64999999999998</v>
      </c>
      <c r="G20" s="168">
        <f>450-90-90</f>
        <v>270</v>
      </c>
      <c r="H20" s="98">
        <f>ROUND(F20*G20,2)</f>
        <v>80635.5</v>
      </c>
      <c r="I20" s="156">
        <v>0.5</v>
      </c>
      <c r="J20" s="99">
        <f>ROUND(F20*G20*I20,2)</f>
        <v>40317.75</v>
      </c>
      <c r="K20" s="169"/>
      <c r="L20" s="98">
        <f>J20</f>
        <v>40317.75</v>
      </c>
    </row>
    <row r="21" spans="1:12" s="150" customFormat="1" ht="15" customHeight="1" x14ac:dyDescent="0.25">
      <c r="A21" s="167" t="s">
        <v>181</v>
      </c>
      <c r="B21" s="157" t="s">
        <v>186</v>
      </c>
      <c r="C21" s="153" t="s">
        <v>26</v>
      </c>
      <c r="D21" s="38" t="s">
        <v>187</v>
      </c>
      <c r="E21" s="154" t="s">
        <v>183</v>
      </c>
      <c r="F21" s="155">
        <v>651.34</v>
      </c>
      <c r="G21" s="168">
        <v>20</v>
      </c>
      <c r="H21" s="98">
        <f>ROUND(F21*G21,2)</f>
        <v>13026.8</v>
      </c>
      <c r="I21" s="156">
        <v>1</v>
      </c>
      <c r="J21" s="99">
        <f>ROUND(F21*G21*I21,2)</f>
        <v>13026.8</v>
      </c>
      <c r="K21" s="169"/>
      <c r="L21" s="98">
        <f>J21</f>
        <v>13026.8</v>
      </c>
    </row>
    <row r="22" spans="1:12" s="150" customFormat="1" ht="15" customHeight="1" x14ac:dyDescent="0.25">
      <c r="A22" s="146"/>
      <c r="B22" s="158"/>
      <c r="C22" s="170">
        <v>3</v>
      </c>
      <c r="D22" s="171" t="s">
        <v>188</v>
      </c>
      <c r="E22" s="171"/>
      <c r="F22" s="172"/>
      <c r="G22" s="171"/>
      <c r="H22" s="163"/>
      <c r="I22" s="164"/>
      <c r="J22" s="165"/>
      <c r="K22" s="166"/>
      <c r="L22" s="166"/>
    </row>
    <row r="23" spans="1:12" s="150" customFormat="1" ht="74.25" customHeight="1" x14ac:dyDescent="0.25">
      <c r="A23" s="151" t="s">
        <v>176</v>
      </c>
      <c r="B23" s="157" t="s">
        <v>73</v>
      </c>
      <c r="C23" s="153" t="s">
        <v>30</v>
      </c>
      <c r="D23" s="38" t="s">
        <v>43</v>
      </c>
      <c r="E23" s="173" t="s">
        <v>44</v>
      </c>
      <c r="F23" s="155">
        <v>1668.31</v>
      </c>
      <c r="G23" s="173">
        <v>5</v>
      </c>
      <c r="H23" s="98">
        <f>ROUND(F23*G23,2)</f>
        <v>8341.5499999999993</v>
      </c>
      <c r="I23" s="156"/>
      <c r="J23" s="99">
        <f>ROUND(F23*G23*I23,2)</f>
        <v>0</v>
      </c>
      <c r="K23" s="169"/>
      <c r="L23" s="98">
        <f>J23</f>
        <v>0</v>
      </c>
    </row>
    <row r="24" spans="1:12" s="150" customFormat="1" ht="77.25" customHeight="1" x14ac:dyDescent="0.25">
      <c r="A24" s="151" t="s">
        <v>176</v>
      </c>
      <c r="B24" s="157" t="s">
        <v>189</v>
      </c>
      <c r="C24" s="153" t="s">
        <v>34</v>
      </c>
      <c r="D24" s="38" t="s">
        <v>47</v>
      </c>
      <c r="E24" s="173" t="s">
        <v>44</v>
      </c>
      <c r="F24" s="155">
        <v>2389.34</v>
      </c>
      <c r="G24" s="173">
        <f>4-2-1+4+4+2+1+1+1</f>
        <v>14</v>
      </c>
      <c r="H24" s="98">
        <f>ROUND(F24*G24,2)</f>
        <v>33450.76</v>
      </c>
      <c r="I24" s="156"/>
      <c r="J24" s="99">
        <f>ROUND(F24*G24*I24,2)</f>
        <v>0</v>
      </c>
      <c r="K24" s="169"/>
      <c r="L24" s="98">
        <f>J24</f>
        <v>0</v>
      </c>
    </row>
    <row r="25" spans="1:12" s="150" customFormat="1" ht="15.75" customHeight="1" x14ac:dyDescent="0.25">
      <c r="A25" s="146"/>
      <c r="B25" s="158"/>
      <c r="C25" s="170">
        <v>4</v>
      </c>
      <c r="D25" s="171" t="s">
        <v>190</v>
      </c>
      <c r="E25" s="171"/>
      <c r="F25" s="172"/>
      <c r="G25" s="171"/>
      <c r="H25" s="163"/>
      <c r="I25" s="164"/>
      <c r="J25" s="165"/>
      <c r="K25" s="166"/>
      <c r="L25" s="166"/>
    </row>
    <row r="26" spans="1:12" s="150" customFormat="1" ht="77.25" customHeight="1" x14ac:dyDescent="0.25">
      <c r="A26" s="151" t="s">
        <v>176</v>
      </c>
      <c r="B26" s="157" t="s">
        <v>74</v>
      </c>
      <c r="C26" s="153" t="s">
        <v>41</v>
      </c>
      <c r="D26" s="25" t="s">
        <v>50</v>
      </c>
      <c r="E26" s="173" t="s">
        <v>44</v>
      </c>
      <c r="F26" s="155">
        <v>3318.31</v>
      </c>
      <c r="G26" s="173">
        <f>5-1</f>
        <v>4</v>
      </c>
      <c r="H26" s="98">
        <f>ROUND(F26*G26,2)</f>
        <v>13273.24</v>
      </c>
      <c r="I26" s="156">
        <v>0.25</v>
      </c>
      <c r="J26" s="99">
        <f>ROUND(F26*G26*I26,2)</f>
        <v>3318.31</v>
      </c>
      <c r="K26" s="169"/>
      <c r="L26" s="98">
        <f>J26</f>
        <v>3318.31</v>
      </c>
    </row>
    <row r="27" spans="1:12" s="150" customFormat="1" ht="15" customHeight="1" x14ac:dyDescent="0.25">
      <c r="C27" s="174"/>
      <c r="D27" s="175"/>
      <c r="E27" s="175"/>
      <c r="F27" s="176"/>
      <c r="G27" s="177"/>
      <c r="I27" s="178"/>
      <c r="J27" s="179"/>
    </row>
    <row r="28" spans="1:12" s="150" customFormat="1" x14ac:dyDescent="0.25">
      <c r="A28" s="180"/>
      <c r="B28" s="180"/>
      <c r="C28" s="364" t="s">
        <v>122</v>
      </c>
      <c r="D28" s="364"/>
      <c r="E28" s="364"/>
      <c r="F28" s="364"/>
      <c r="G28" s="181"/>
      <c r="H28" s="182">
        <f>SUM(H15:H26)</f>
        <v>180592.44</v>
      </c>
      <c r="I28" s="183">
        <f>J28/H28</f>
        <v>0.36296580299817649</v>
      </c>
      <c r="J28" s="184">
        <f>SUM(J15:J26)</f>
        <v>65548.88</v>
      </c>
      <c r="K28" s="185">
        <f>L28/H28</f>
        <v>0.36296580299817649</v>
      </c>
      <c r="L28" s="186">
        <f>SUM(L15:L26)</f>
        <v>65548.88</v>
      </c>
    </row>
    <row r="29" spans="1:12" s="187" customFormat="1" ht="15" x14ac:dyDescent="0.25">
      <c r="C29" s="188"/>
      <c r="F29" s="189"/>
      <c r="G29" s="189"/>
      <c r="J29" s="190"/>
    </row>
    <row r="31" spans="1:12" ht="15.75" customHeight="1" x14ac:dyDescent="0.25">
      <c r="D31" s="365" t="s">
        <v>156</v>
      </c>
      <c r="E31" s="191"/>
      <c r="F31" s="191"/>
      <c r="G31" s="192"/>
      <c r="H31" s="193"/>
      <c r="I31" s="193"/>
      <c r="J31" s="194"/>
      <c r="K31" s="194"/>
    </row>
    <row r="32" spans="1:12" x14ac:dyDescent="0.25">
      <c r="D32" s="365"/>
      <c r="E32" s="100" t="s">
        <v>157</v>
      </c>
      <c r="F32" s="100" t="s">
        <v>127</v>
      </c>
      <c r="G32" s="195" t="s">
        <v>141</v>
      </c>
      <c r="H32" s="196"/>
      <c r="I32" s="196"/>
      <c r="J32" s="194"/>
      <c r="K32" s="194"/>
    </row>
    <row r="33" spans="2:11" x14ac:dyDescent="0.25">
      <c r="B33" s="139"/>
      <c r="C33" s="197"/>
      <c r="D33" s="198" t="s">
        <v>162</v>
      </c>
      <c r="E33" s="101">
        <v>40976</v>
      </c>
      <c r="F33" s="102">
        <f>I28</f>
        <v>0.36296580299817649</v>
      </c>
      <c r="G33" s="199">
        <f>J28</f>
        <v>65548.88</v>
      </c>
      <c r="H33" s="200"/>
      <c r="I33" s="200"/>
      <c r="J33" s="194"/>
      <c r="K33" s="194"/>
    </row>
    <row r="34" spans="2:11" x14ac:dyDescent="0.25">
      <c r="B34" s="139"/>
      <c r="C34" s="197"/>
      <c r="D34" s="201" t="s">
        <v>158</v>
      </c>
      <c r="E34" s="103"/>
      <c r="F34" s="104">
        <f>K28</f>
        <v>0.36296580299817649</v>
      </c>
      <c r="G34" s="202">
        <f>SUM(G33:I33)</f>
        <v>65548.88</v>
      </c>
      <c r="H34" s="203"/>
      <c r="I34" s="203"/>
      <c r="J34" s="204"/>
      <c r="K34" s="204"/>
    </row>
    <row r="35" spans="2:11" x14ac:dyDescent="0.25">
      <c r="D35" s="205" t="s">
        <v>159</v>
      </c>
      <c r="E35" s="206"/>
      <c r="F35" s="207">
        <f>G35/H28</f>
        <v>0.63703419700182351</v>
      </c>
      <c r="G35" s="208">
        <f>H28-G34</f>
        <v>115043.56</v>
      </c>
      <c r="H35" s="203"/>
      <c r="I35" s="203"/>
      <c r="J35" s="204"/>
      <c r="K35" s="204"/>
    </row>
    <row r="36" spans="2:11" x14ac:dyDescent="0.25">
      <c r="D36" s="209"/>
      <c r="E36" s="194"/>
      <c r="F36" s="210"/>
      <c r="G36" s="193"/>
      <c r="H36" s="193"/>
      <c r="I36" s="193"/>
      <c r="J36" s="194"/>
      <c r="K36" s="194"/>
    </row>
    <row r="37" spans="2:11" x14ac:dyDescent="0.25">
      <c r="D37" s="209"/>
      <c r="E37" s="211"/>
      <c r="F37" s="194"/>
      <c r="G37" s="194"/>
      <c r="H37" s="194"/>
      <c r="I37" s="194"/>
      <c r="J37" s="212"/>
      <c r="K37" s="194"/>
    </row>
    <row r="38" spans="2:11" x14ac:dyDescent="0.25">
      <c r="D38" s="209"/>
      <c r="E38" s="211"/>
      <c r="F38" s="194"/>
      <c r="G38" s="136"/>
      <c r="H38" s="194"/>
      <c r="I38" s="194" t="s">
        <v>191</v>
      </c>
      <c r="J38" s="194"/>
      <c r="K38" s="194"/>
    </row>
  </sheetData>
  <mergeCells count="2">
    <mergeCell ref="C28:F28"/>
    <mergeCell ref="D31:D32"/>
  </mergeCells>
  <pageMargins left="0.31527777777777799" right="0.118055555555556" top="0.59027777777777801" bottom="0.59027777777777801" header="0.51180555555555496" footer="0.118055555555556"/>
  <pageSetup paperSize="9" firstPageNumber="0" orientation="landscape" horizontalDpi="300" verticalDpi="300" r:id="rId1"/>
  <headerFooter>
    <oddFooter>&amp;R&amp;P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view="pageBreakPreview" workbookViewId="0">
      <selection activeCell="F11" sqref="F11"/>
    </sheetView>
  </sheetViews>
  <sheetFormatPr defaultRowHeight="15" x14ac:dyDescent="0.25"/>
  <cols>
    <col min="1" max="1" width="8.7109375" customWidth="1"/>
    <col min="2" max="2" width="38.42578125" customWidth="1"/>
    <col min="3" max="1025" width="8.7109375" customWidth="1"/>
  </cols>
  <sheetData>
    <row r="1" spans="1:4" x14ac:dyDescent="0.25">
      <c r="A1" s="366" t="s">
        <v>4</v>
      </c>
      <c r="B1" s="366" t="s">
        <v>7</v>
      </c>
      <c r="C1" s="366" t="s">
        <v>8</v>
      </c>
      <c r="D1" s="366" t="s">
        <v>9</v>
      </c>
    </row>
    <row r="2" spans="1:4" x14ac:dyDescent="0.25">
      <c r="A2" s="366"/>
      <c r="B2" s="366"/>
      <c r="C2" s="366"/>
      <c r="D2" s="366"/>
    </row>
    <row r="3" spans="1:4" x14ac:dyDescent="0.25">
      <c r="A3" s="213">
        <v>1</v>
      </c>
      <c r="B3" s="214" t="s">
        <v>18</v>
      </c>
      <c r="C3" s="215"/>
      <c r="D3" s="216"/>
    </row>
    <row r="4" spans="1:4" ht="65.25" customHeight="1" x14ac:dyDescent="0.25">
      <c r="A4" s="217" t="s">
        <v>14</v>
      </c>
      <c r="B4" s="218" t="s">
        <v>62</v>
      </c>
      <c r="C4" s="215">
        <v>936</v>
      </c>
      <c r="D4" s="216" t="s">
        <v>22</v>
      </c>
    </row>
    <row r="5" spans="1:4" ht="77.25" customHeight="1" x14ac:dyDescent="0.25">
      <c r="A5" s="217" t="s">
        <v>63</v>
      </c>
      <c r="B5" s="218" t="s">
        <v>25</v>
      </c>
      <c r="C5" s="215">
        <v>890.49</v>
      </c>
      <c r="D5" s="216" t="s">
        <v>22</v>
      </c>
    </row>
    <row r="6" spans="1:4" ht="33.75" customHeight="1" x14ac:dyDescent="0.25">
      <c r="A6" s="217" t="s">
        <v>66</v>
      </c>
      <c r="B6" s="218" t="s">
        <v>28</v>
      </c>
      <c r="C6" s="215">
        <v>127.5</v>
      </c>
      <c r="D6" s="216" t="s">
        <v>17</v>
      </c>
    </row>
    <row r="7" spans="1:4" x14ac:dyDescent="0.25">
      <c r="A7" s="213">
        <v>2</v>
      </c>
      <c r="B7" s="214" t="s">
        <v>29</v>
      </c>
      <c r="C7" s="215"/>
      <c r="D7" s="216"/>
    </row>
    <row r="8" spans="1:4" x14ac:dyDescent="0.25">
      <c r="A8" s="217" t="s">
        <v>19</v>
      </c>
      <c r="B8" s="216" t="s">
        <v>32</v>
      </c>
      <c r="C8" s="215">
        <v>28</v>
      </c>
      <c r="D8" s="216" t="s">
        <v>33</v>
      </c>
    </row>
    <row r="9" spans="1:4" x14ac:dyDescent="0.25">
      <c r="A9" s="217" t="s">
        <v>23</v>
      </c>
      <c r="B9" s="219" t="s">
        <v>71</v>
      </c>
      <c r="C9" s="215">
        <v>180</v>
      </c>
      <c r="D9" s="216" t="s">
        <v>33</v>
      </c>
    </row>
    <row r="10" spans="1:4" x14ac:dyDescent="0.25">
      <c r="A10" s="220">
        <v>3</v>
      </c>
      <c r="B10" s="214" t="s">
        <v>192</v>
      </c>
      <c r="C10" s="215"/>
      <c r="D10" s="216"/>
    </row>
    <row r="11" spans="1:4" ht="92.25" customHeight="1" x14ac:dyDescent="0.25">
      <c r="A11" s="217" t="s">
        <v>30</v>
      </c>
      <c r="B11" s="221" t="s">
        <v>43</v>
      </c>
      <c r="C11" s="215">
        <v>4</v>
      </c>
      <c r="D11" s="222" t="s">
        <v>44</v>
      </c>
    </row>
    <row r="12" spans="1:4" ht="90.75" customHeight="1" x14ac:dyDescent="0.25">
      <c r="A12" s="217" t="s">
        <v>34</v>
      </c>
      <c r="B12" s="10" t="s">
        <v>50</v>
      </c>
      <c r="C12" s="215">
        <v>2</v>
      </c>
      <c r="D12" s="222" t="s">
        <v>44</v>
      </c>
    </row>
  </sheetData>
  <mergeCells count="4">
    <mergeCell ref="A1:A2"/>
    <mergeCell ref="B1:B2"/>
    <mergeCell ref="C1:C2"/>
    <mergeCell ref="D1:D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Plan1</vt:lpstr>
      <vt:lpstr>ORÇ.ORIGINAL</vt:lpstr>
      <vt:lpstr>cron.erplan</vt:lpstr>
      <vt:lpstr>Cronograma</vt:lpstr>
      <vt:lpstr>BM.1</vt:lpstr>
      <vt:lpstr>BM 1</vt:lpstr>
      <vt:lpstr>orç na prancha</vt:lpstr>
      <vt:lpstr>Cronograma!Area_de_impressao</vt:lpstr>
      <vt:lpstr>'BM 1'!Print_Titles_0_0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Guilherme</cp:lastModifiedBy>
  <cp:revision>15</cp:revision>
  <cp:lastPrinted>2021-11-05T13:12:32Z</cp:lastPrinted>
  <dcterms:created xsi:type="dcterms:W3CDTF">2011-09-30T19:25:41Z</dcterms:created>
  <dcterms:modified xsi:type="dcterms:W3CDTF">2021-11-05T15:28:15Z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Hewlett-Packard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